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ummings\OneDrive - UMASS Dartmouth\SDM\Workshops\Massachusetts Feb 2020\"/>
    </mc:Choice>
  </mc:AlternateContent>
  <xr:revisionPtr revIDLastSave="6" documentId="8_{E3643C81-86E1-445E-BCAF-174C910F7834}" xr6:coauthVersionLast="44" xr6:coauthVersionMax="44" xr10:uidLastSave="{B65869B4-C9D0-4D74-BD01-CF3B1C961EF9}"/>
  <bookViews>
    <workbookView xWindow="-120" yWindow="-120" windowWidth="25440" windowHeight="15390" firstSheet="4" activeTab="4" xr2:uid="{00000000-000D-0000-FFFF-FFFF00000000}"/>
  </bookViews>
  <sheets>
    <sheet name="Proto1_v2" sheetId="1" state="hidden" r:id="rId1"/>
    <sheet name="Proto1-v3Reduced" sheetId="5" state="hidden" r:id="rId2"/>
    <sheet name="Huc_Sort" sheetId="6" state="hidden" r:id="rId3"/>
    <sheet name="Scenarios" sheetId="7" state="hidden" r:id="rId4"/>
    <sheet name="Huc-12 Selection Results" sheetId="2" r:id="rId5"/>
    <sheet name="Optimization &amp; HucToHuc_Lookup" sheetId="3" r:id="rId6"/>
    <sheet name="Objective Weights" sheetId="4" r:id="rId7"/>
    <sheet name="StateTransitionProbabilty" sheetId="8" r:id="rId8"/>
  </sheets>
  <definedNames>
    <definedName name="_xlnm._FilterDatabase" localSheetId="4" hidden="1">'Huc-12 Selection Results'!$E$2:$E$23</definedName>
    <definedName name="_xlnm.Database">Proto1_v2!$A$1:$AC$53</definedName>
    <definedName name="solver_adj" localSheetId="5" hidden="1">'Optimization &amp; HucToHuc_Lookup'!$D$33:$D$158</definedName>
    <definedName name="solver_cvg" localSheetId="4" hidden="1">0.0001</definedName>
    <definedName name="solver_cvg" localSheetId="5" hidden="1">0.0001</definedName>
    <definedName name="solver_drv" localSheetId="4" hidden="1">1</definedName>
    <definedName name="solver_drv" localSheetId="5" hidden="1">1</definedName>
    <definedName name="solver_eng" localSheetId="4" hidden="1">1</definedName>
    <definedName name="solver_eng" localSheetId="5" hidden="1">3</definedName>
    <definedName name="solver_est" localSheetId="4" hidden="1">1</definedName>
    <definedName name="solver_est" localSheetId="5" hidden="1">1</definedName>
    <definedName name="solver_itr" localSheetId="4" hidden="1">2147483647</definedName>
    <definedName name="solver_itr" localSheetId="5" hidden="1">1000</definedName>
    <definedName name="solver_lhs1" localSheetId="4" hidden="1">'Huc-12 Selection Results'!$R$3:$R$23</definedName>
    <definedName name="solver_lhs1" localSheetId="5" hidden="1">'Optimization &amp; HucToHuc_Lookup'!$D$33:$D$158</definedName>
    <definedName name="solver_lhs2" localSheetId="4" hidden="1">'Huc-12 Selection Results'!$S$18:$S$23</definedName>
    <definedName name="solver_lhs2" localSheetId="5" hidden="1">'Optimization &amp; HucToHuc_Lookup'!$E$162:$I$162</definedName>
    <definedName name="solver_lhs3" localSheetId="4" hidden="1">'Huc-12 Selection Results'!$S$18:$S$23</definedName>
    <definedName name="solver_lhs3" localSheetId="5" hidden="1">'Optimization &amp; HucToHuc_Lookup'!$J$162</definedName>
    <definedName name="solver_lhs4" localSheetId="5" hidden="1">'Optimization &amp; HucToHuc_Lookup'!$K$162:$AE$162</definedName>
    <definedName name="solver_mip" localSheetId="4" hidden="1">2147483647</definedName>
    <definedName name="solver_mip" localSheetId="5" hidden="1">2147483647</definedName>
    <definedName name="solver_mni" localSheetId="4" hidden="1">30</definedName>
    <definedName name="solver_mni" localSheetId="5" hidden="1">30</definedName>
    <definedName name="solver_mrt" localSheetId="4" hidden="1">0.075</definedName>
    <definedName name="solver_mrt" localSheetId="5" hidden="1">0.075</definedName>
    <definedName name="solver_msl" localSheetId="4" hidden="1">2</definedName>
    <definedName name="solver_msl" localSheetId="5" hidden="1">2</definedName>
    <definedName name="solver_neg" localSheetId="4" hidden="1">1</definedName>
    <definedName name="solver_neg" localSheetId="5" hidden="1">1</definedName>
    <definedName name="solver_nod" localSheetId="4" hidden="1">2147483647</definedName>
    <definedName name="solver_nod" localSheetId="5" hidden="1">2147483647</definedName>
    <definedName name="solver_num" localSheetId="4" hidden="1">2</definedName>
    <definedName name="solver_num" localSheetId="5" hidden="1">4</definedName>
    <definedName name="solver_nwt" localSheetId="4" hidden="1">1</definedName>
    <definedName name="solver_nwt" localSheetId="5" hidden="1">1</definedName>
    <definedName name="solver_opt" localSheetId="4" hidden="1">'Huc-12 Selection Results'!$F$40</definedName>
    <definedName name="solver_opt" localSheetId="5" hidden="1">'Optimization &amp; HucToHuc_Lookup'!$D$172</definedName>
    <definedName name="solver_pre" localSheetId="4" hidden="1">0.000001</definedName>
    <definedName name="solver_pre" localSheetId="5" hidden="1">0.00000000001</definedName>
    <definedName name="solver_rbv" localSheetId="4" hidden="1">1</definedName>
    <definedName name="solver_rbv" localSheetId="5" hidden="1">1</definedName>
    <definedName name="solver_rel1" localSheetId="4" hidden="1">5</definedName>
    <definedName name="solver_rel1" localSheetId="5" hidden="1">5</definedName>
    <definedName name="solver_rel2" localSheetId="4" hidden="1">1</definedName>
    <definedName name="solver_rel2" localSheetId="5" hidden="1">1</definedName>
    <definedName name="solver_rel3" localSheetId="4" hidden="1">3</definedName>
    <definedName name="solver_rel3" localSheetId="5" hidden="1">1</definedName>
    <definedName name="solver_rel4" localSheetId="5" hidden="1">1</definedName>
    <definedName name="solver_rhs1" localSheetId="4" hidden="1">binary</definedName>
    <definedName name="solver_rhs1" localSheetId="5" hidden="1">binary</definedName>
    <definedName name="solver_rhs2" localSheetId="4" hidden="1">10</definedName>
    <definedName name="solver_rhs2" localSheetId="5" hidden="1">'Optimization &amp; HucToHuc_Lookup'!$E$163:$I$163</definedName>
    <definedName name="solver_rhs3" localSheetId="4" hidden="1">0</definedName>
    <definedName name="solver_rhs3" localSheetId="5" hidden="1">'Optimization &amp; HucToHuc_Lookup'!$J$163</definedName>
    <definedName name="solver_rhs4" localSheetId="5" hidden="1">'Optimization &amp; HucToHuc_Lookup'!$K$163:$AE$163</definedName>
    <definedName name="solver_rlx" localSheetId="4" hidden="1">2</definedName>
    <definedName name="solver_rlx" localSheetId="5" hidden="1">2</definedName>
    <definedName name="solver_rsd" localSheetId="4" hidden="1">0</definedName>
    <definedName name="solver_rsd" localSheetId="5" hidden="1">0</definedName>
    <definedName name="solver_scl" localSheetId="4" hidden="1">1</definedName>
    <definedName name="solver_scl" localSheetId="5" hidden="1">1</definedName>
    <definedName name="solver_sho" localSheetId="4" hidden="1">2</definedName>
    <definedName name="solver_sho" localSheetId="5" hidden="1">2</definedName>
    <definedName name="solver_ssz" localSheetId="4" hidden="1">100</definedName>
    <definedName name="solver_ssz" localSheetId="5" hidden="1">100</definedName>
    <definedName name="solver_tim" localSheetId="4" hidden="1">2147483647</definedName>
    <definedName name="solver_tim" localSheetId="5" hidden="1">240</definedName>
    <definedName name="solver_tol" localSheetId="4" hidden="1">0.01</definedName>
    <definedName name="solver_tol" localSheetId="5" hidden="1">0.01</definedName>
    <definedName name="solver_typ" localSheetId="4" hidden="1">1</definedName>
    <definedName name="solver_typ" localSheetId="5" hidden="1">1</definedName>
    <definedName name="solver_val" localSheetId="4" hidden="1">0</definedName>
    <definedName name="solver_val" localSheetId="5" hidden="1">0</definedName>
    <definedName name="solver_ver" localSheetId="4" hidden="1">3</definedName>
    <definedName name="solver_ver" localSheetId="5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2" l="1"/>
  <c r="J15" i="2"/>
  <c r="J14" i="2"/>
  <c r="J13" i="2"/>
  <c r="J9" i="2"/>
  <c r="J5" i="2"/>
  <c r="D162" i="3"/>
  <c r="C174" i="3"/>
  <c r="G9" i="4"/>
  <c r="D3" i="4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4" i="8"/>
  <c r="J6" i="8"/>
  <c r="J5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4" i="8"/>
  <c r="W5" i="2"/>
  <c r="W7" i="2"/>
  <c r="W9" i="2"/>
  <c r="W10" i="2"/>
  <c r="W13" i="2"/>
  <c r="W14" i="2"/>
  <c r="W15" i="2"/>
  <c r="W16" i="2"/>
  <c r="W18" i="2"/>
  <c r="W19" i="2"/>
  <c r="W20" i="2"/>
  <c r="W21" i="2"/>
  <c r="W22" i="2"/>
  <c r="W23" i="2"/>
  <c r="W3" i="2"/>
  <c r="AB9" i="2" l="1"/>
  <c r="Q9" i="2" s="1"/>
  <c r="L9" i="2"/>
  <c r="Z9" i="2" s="1"/>
  <c r="O9" i="2" s="1"/>
  <c r="M9" i="2"/>
  <c r="AA9" i="2" s="1"/>
  <c r="P9" i="2" s="1"/>
  <c r="L14" i="2"/>
  <c r="Z14" i="2" s="1"/>
  <c r="O14" i="2" s="1"/>
  <c r="M14" i="2"/>
  <c r="AA14" i="2" s="1"/>
  <c r="P14" i="2" s="1"/>
  <c r="AB14" i="2"/>
  <c r="Q14" i="2" s="1"/>
  <c r="AB15" i="2"/>
  <c r="Q15" i="2" s="1"/>
  <c r="M15" i="2"/>
  <c r="AA15" i="2" s="1"/>
  <c r="P15" i="2" s="1"/>
  <c r="L15" i="2"/>
  <c r="Z15" i="2" s="1"/>
  <c r="O15" i="2" s="1"/>
  <c r="M5" i="2"/>
  <c r="AA5" i="2" s="1"/>
  <c r="P5" i="2" s="1"/>
  <c r="L5" i="2"/>
  <c r="Z5" i="2" s="1"/>
  <c r="O5" i="2" s="1"/>
  <c r="AB5" i="2"/>
  <c r="Q5" i="2" s="1"/>
  <c r="L16" i="2"/>
  <c r="Z16" i="2" s="1"/>
  <c r="O16" i="2" s="1"/>
  <c r="M16" i="2"/>
  <c r="AA16" i="2" s="1"/>
  <c r="P16" i="2" s="1"/>
  <c r="AB16" i="2"/>
  <c r="Q16" i="2" s="1"/>
  <c r="M13" i="2"/>
  <c r="AA13" i="2" s="1"/>
  <c r="P13" i="2" s="1"/>
  <c r="L13" i="2"/>
  <c r="Z13" i="2" s="1"/>
  <c r="O13" i="2" s="1"/>
  <c r="AB13" i="2"/>
  <c r="Q13" i="2" s="1"/>
  <c r="J28" i="4"/>
  <c r="I31" i="4"/>
  <c r="H31" i="4"/>
  <c r="G31" i="4"/>
  <c r="F31" i="4"/>
  <c r="E31" i="4"/>
  <c r="D31" i="4"/>
  <c r="I30" i="4"/>
  <c r="H30" i="4"/>
  <c r="G30" i="4"/>
  <c r="F30" i="4"/>
  <c r="E30" i="4"/>
  <c r="D30" i="4"/>
  <c r="I29" i="4"/>
  <c r="H29" i="4"/>
  <c r="G29" i="4"/>
  <c r="F29" i="4"/>
  <c r="E29" i="4"/>
  <c r="D29" i="4"/>
  <c r="J27" i="4"/>
  <c r="J26" i="4"/>
  <c r="J25" i="4"/>
  <c r="J24" i="4"/>
  <c r="J23" i="4"/>
  <c r="J22" i="4"/>
  <c r="H10" i="4"/>
  <c r="G10" i="4"/>
  <c r="F10" i="4"/>
  <c r="E10" i="4"/>
  <c r="D10" i="4"/>
  <c r="I9" i="4"/>
  <c r="H9" i="4"/>
  <c r="F9" i="4"/>
  <c r="E9" i="4"/>
  <c r="D9" i="4"/>
  <c r="I8" i="4"/>
  <c r="H8" i="4"/>
  <c r="F8" i="4"/>
  <c r="E8" i="4"/>
  <c r="D8" i="4"/>
  <c r="I7" i="4"/>
  <c r="H7" i="4"/>
  <c r="G7" i="4"/>
  <c r="F7" i="4"/>
  <c r="E7" i="4"/>
  <c r="D7" i="4"/>
  <c r="I6" i="4"/>
  <c r="H6" i="4"/>
  <c r="G6" i="4"/>
  <c r="F6" i="4"/>
  <c r="E6" i="4"/>
  <c r="D6" i="4"/>
  <c r="I5" i="4"/>
  <c r="H5" i="4"/>
  <c r="G5" i="4"/>
  <c r="E5" i="4"/>
  <c r="D5" i="4"/>
  <c r="I4" i="4"/>
  <c r="H4" i="4"/>
  <c r="G4" i="4"/>
  <c r="F4" i="4"/>
  <c r="D4" i="4"/>
  <c r="I3" i="4"/>
  <c r="H3" i="4"/>
  <c r="G3" i="4"/>
  <c r="F3" i="4"/>
  <c r="E3" i="4"/>
  <c r="A157" i="3" l="1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K162" i="3"/>
  <c r="E162" i="3"/>
  <c r="F162" i="3"/>
  <c r="G162" i="3"/>
  <c r="H162" i="3"/>
  <c r="I162" i="3"/>
  <c r="J162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8" i="3"/>
  <c r="C175" i="3" l="1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35" i="3" l="1"/>
  <c r="R4" i="2"/>
  <c r="R5" i="2"/>
  <c r="R6" i="2"/>
  <c r="R7" i="2"/>
  <c r="X7" i="2" s="1"/>
  <c r="R8" i="2"/>
  <c r="R9" i="2"/>
  <c r="R10" i="2"/>
  <c r="X10" i="2" s="1"/>
  <c r="R11" i="2"/>
  <c r="R12" i="2"/>
  <c r="R13" i="2"/>
  <c r="R14" i="2"/>
  <c r="R15" i="2"/>
  <c r="R16" i="2"/>
  <c r="R17" i="2"/>
  <c r="R18" i="2"/>
  <c r="X18" i="2" s="1"/>
  <c r="R19" i="2"/>
  <c r="R20" i="2"/>
  <c r="R21" i="2"/>
  <c r="R22" i="2"/>
  <c r="R23" i="2"/>
  <c r="R3" i="2"/>
  <c r="X3" i="2" s="1"/>
  <c r="A33" i="3"/>
  <c r="A34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J19" i="2" l="1"/>
  <c r="M19" i="2" s="1"/>
  <c r="AA19" i="2" s="1"/>
  <c r="P19" i="2" s="1"/>
  <c r="X19" i="2"/>
  <c r="K9" i="2"/>
  <c r="X9" i="2"/>
  <c r="K16" i="2"/>
  <c r="X16" i="2"/>
  <c r="J23" i="2"/>
  <c r="M23" i="2" s="1"/>
  <c r="AA23" i="2" s="1"/>
  <c r="P23" i="2" s="1"/>
  <c r="X23" i="2"/>
  <c r="K15" i="2"/>
  <c r="X15" i="2"/>
  <c r="J22" i="2"/>
  <c r="K22" i="2" s="1"/>
  <c r="X22" i="2"/>
  <c r="K14" i="2"/>
  <c r="X14" i="2"/>
  <c r="J20" i="2"/>
  <c r="AB20" i="2" s="1"/>
  <c r="Q20" i="2" s="1"/>
  <c r="X20" i="2"/>
  <c r="J21" i="2"/>
  <c r="L21" i="2" s="1"/>
  <c r="Z21" i="2" s="1"/>
  <c r="O21" i="2" s="1"/>
  <c r="X21" i="2"/>
  <c r="K13" i="2"/>
  <c r="X13" i="2"/>
  <c r="K5" i="2"/>
  <c r="X5" i="2"/>
  <c r="J3" i="2"/>
  <c r="L3" i="2" s="1"/>
  <c r="Z3" i="2" s="1"/>
  <c r="J10" i="2"/>
  <c r="Y9" i="2"/>
  <c r="N9" i="2" s="1"/>
  <c r="Y16" i="2"/>
  <c r="N16" i="2" s="1"/>
  <c r="Y14" i="2"/>
  <c r="N14" i="2" s="1"/>
  <c r="Y13" i="2"/>
  <c r="N13" i="2" s="1"/>
  <c r="Y5" i="2"/>
  <c r="N5" i="2" s="1"/>
  <c r="Y15" i="2"/>
  <c r="N15" i="2" s="1"/>
  <c r="J7" i="2"/>
  <c r="J18" i="2"/>
  <c r="S9" i="2"/>
  <c r="T9" i="2" s="1"/>
  <c r="S3" i="2"/>
  <c r="S7" i="2"/>
  <c r="T7" i="2" s="1"/>
  <c r="S16" i="2"/>
  <c r="T16" i="2" s="1"/>
  <c r="S8" i="2"/>
  <c r="T8" i="2" s="1"/>
  <c r="S22" i="2"/>
  <c r="T22" i="2" s="1"/>
  <c r="S14" i="2"/>
  <c r="T14" i="2" s="1"/>
  <c r="S6" i="2"/>
  <c r="T6" i="2" s="1"/>
  <c r="S17" i="2"/>
  <c r="T17" i="2" s="1"/>
  <c r="S23" i="2"/>
  <c r="T23" i="2" s="1"/>
  <c r="S21" i="2"/>
  <c r="T21" i="2" s="1"/>
  <c r="S13" i="2"/>
  <c r="T13" i="2" s="1"/>
  <c r="S5" i="2"/>
  <c r="T5" i="2" s="1"/>
  <c r="S15" i="2"/>
  <c r="T15" i="2" s="1"/>
  <c r="S20" i="2"/>
  <c r="T20" i="2" s="1"/>
  <c r="S12" i="2"/>
  <c r="T12" i="2" s="1"/>
  <c r="S4" i="2"/>
  <c r="T4" i="2" s="1"/>
  <c r="S19" i="2"/>
  <c r="T19" i="2" s="1"/>
  <c r="S11" i="2"/>
  <c r="T11" i="2" s="1"/>
  <c r="S18" i="2"/>
  <c r="T18" i="2" s="1"/>
  <c r="S10" i="2"/>
  <c r="T10" i="2" s="1"/>
  <c r="K23" i="2" l="1"/>
  <c r="Y23" i="2" s="1"/>
  <c r="N23" i="2" s="1"/>
  <c r="AB19" i="2"/>
  <c r="Q19" i="2" s="1"/>
  <c r="L23" i="2"/>
  <c r="Z23" i="2" s="1"/>
  <c r="O23" i="2" s="1"/>
  <c r="L19" i="2"/>
  <c r="Z19" i="2" s="1"/>
  <c r="O19" i="2" s="1"/>
  <c r="K21" i="2"/>
  <c r="Y21" i="2" s="1"/>
  <c r="N21" i="2" s="1"/>
  <c r="K19" i="2"/>
  <c r="Y19" i="2" s="1"/>
  <c r="N19" i="2" s="1"/>
  <c r="AB21" i="2"/>
  <c r="Q21" i="2" s="1"/>
  <c r="M21" i="2"/>
  <c r="AA21" i="2" s="1"/>
  <c r="P21" i="2" s="1"/>
  <c r="M22" i="2"/>
  <c r="AA22" i="2" s="1"/>
  <c r="P22" i="2" s="1"/>
  <c r="AB23" i="2"/>
  <c r="Q23" i="2" s="1"/>
  <c r="L20" i="2"/>
  <c r="Z20" i="2" s="1"/>
  <c r="O20" i="2" s="1"/>
  <c r="AB22" i="2"/>
  <c r="Q22" i="2" s="1"/>
  <c r="L22" i="2"/>
  <c r="Z22" i="2" s="1"/>
  <c r="O22" i="2" s="1"/>
  <c r="M20" i="2"/>
  <c r="AA20" i="2" s="1"/>
  <c r="P20" i="2" s="1"/>
  <c r="K20" i="2"/>
  <c r="Y20" i="2" s="1"/>
  <c r="N20" i="2" s="1"/>
  <c r="O3" i="2"/>
  <c r="K3" i="2"/>
  <c r="Y3" i="2" s="1"/>
  <c r="M3" i="2"/>
  <c r="AA3" i="2" s="1"/>
  <c r="AB3" i="2"/>
  <c r="AB10" i="2"/>
  <c r="Q10" i="2" s="1"/>
  <c r="M10" i="2"/>
  <c r="AA10" i="2" s="1"/>
  <c r="P10" i="2" s="1"/>
  <c r="AB18" i="2"/>
  <c r="Q18" i="2" s="1"/>
  <c r="M18" i="2"/>
  <c r="AA18" i="2" s="1"/>
  <c r="P18" i="2" s="1"/>
  <c r="L7" i="2"/>
  <c r="Z7" i="2" s="1"/>
  <c r="O7" i="2" s="1"/>
  <c r="AB7" i="2"/>
  <c r="Q7" i="2" s="1"/>
  <c r="M7" i="2"/>
  <c r="AA7" i="2" s="1"/>
  <c r="P7" i="2" s="1"/>
  <c r="K18" i="2"/>
  <c r="Y18" i="2" s="1"/>
  <c r="N18" i="2" s="1"/>
  <c r="L18" i="2"/>
  <c r="Z18" i="2" s="1"/>
  <c r="O18" i="2" s="1"/>
  <c r="K10" i="2"/>
  <c r="L10" i="2"/>
  <c r="Z10" i="2" s="1"/>
  <c r="O10" i="2" s="1"/>
  <c r="K7" i="2"/>
  <c r="Y7" i="2" s="1"/>
  <c r="N7" i="2" s="1"/>
  <c r="Y22" i="2"/>
  <c r="N22" i="2" s="1"/>
  <c r="S24" i="2"/>
  <c r="J24" i="2" s="1"/>
  <c r="AB24" i="2" s="1"/>
  <c r="T3" i="2"/>
  <c r="V6" i="2"/>
  <c r="V11" i="2"/>
  <c r="V8" i="2"/>
  <c r="X8" i="2" s="1"/>
  <c r="V4" i="2"/>
  <c r="X4" i="2" s="1"/>
  <c r="V24" i="2" l="1"/>
  <c r="X24" i="2" s="1"/>
  <c r="J11" i="2"/>
  <c r="K11" i="2" s="1"/>
  <c r="X11" i="2"/>
  <c r="J6" i="2"/>
  <c r="M6" i="2" s="1"/>
  <c r="AA6" i="2" s="1"/>
  <c r="P6" i="2" s="1"/>
  <c r="X6" i="2"/>
  <c r="J4" i="2"/>
  <c r="Q3" i="2"/>
  <c r="P3" i="2"/>
  <c r="N3" i="2"/>
  <c r="H37" i="2"/>
  <c r="E37" i="2"/>
  <c r="G37" i="2"/>
  <c r="F37" i="2"/>
  <c r="Y10" i="2"/>
  <c r="N10" i="2" s="1"/>
  <c r="W8" i="2"/>
  <c r="J8" i="2"/>
  <c r="W11" i="2"/>
  <c r="T24" i="2"/>
  <c r="E38" i="2" s="1"/>
  <c r="W6" i="2"/>
  <c r="W4" i="2"/>
  <c r="B169" i="3" l="1"/>
  <c r="AB11" i="2"/>
  <c r="Q11" i="2" s="1"/>
  <c r="M11" i="2"/>
  <c r="AA11" i="2" s="1"/>
  <c r="P11" i="2" s="1"/>
  <c r="L11" i="2"/>
  <c r="Z11" i="2" s="1"/>
  <c r="O11" i="2" s="1"/>
  <c r="K6" i="2"/>
  <c r="Y6" i="2" s="1"/>
  <c r="N6" i="2" s="1"/>
  <c r="L6" i="2"/>
  <c r="Z6" i="2" s="1"/>
  <c r="O6" i="2" s="1"/>
  <c r="AB6" i="2"/>
  <c r="Q6" i="2" s="1"/>
  <c r="F38" i="2"/>
  <c r="H38" i="2"/>
  <c r="B170" i="3" s="1"/>
  <c r="G38" i="2"/>
  <c r="AB8" i="2"/>
  <c r="Q8" i="2" s="1"/>
  <c r="M8" i="2"/>
  <c r="AA8" i="2" s="1"/>
  <c r="P8" i="2" s="1"/>
  <c r="AB4" i="2"/>
  <c r="M4" i="2"/>
  <c r="AA4" i="2" s="1"/>
  <c r="K8" i="2"/>
  <c r="Y8" i="2" s="1"/>
  <c r="N8" i="2" s="1"/>
  <c r="L8" i="2"/>
  <c r="Z8" i="2" s="1"/>
  <c r="O8" i="2" s="1"/>
  <c r="K4" i="2"/>
  <c r="Y4" i="2" s="1"/>
  <c r="L4" i="2"/>
  <c r="Z4" i="2" s="1"/>
  <c r="Y11" i="2"/>
  <c r="N11" i="2" s="1"/>
  <c r="V12" i="2"/>
  <c r="X12" i="2" s="1"/>
  <c r="Q4" i="2" l="1"/>
  <c r="P4" i="2"/>
  <c r="O4" i="2"/>
  <c r="N4" i="2"/>
  <c r="J12" i="2"/>
  <c r="W12" i="2"/>
  <c r="V17" i="2"/>
  <c r="X17" i="2" s="1"/>
  <c r="G39" i="2" s="1"/>
  <c r="F39" i="2" l="1"/>
  <c r="H39" i="2"/>
  <c r="E39" i="2"/>
  <c r="M12" i="2"/>
  <c r="AA12" i="2" s="1"/>
  <c r="AB12" i="2"/>
  <c r="K12" i="2"/>
  <c r="Y12" i="2" s="1"/>
  <c r="L12" i="2"/>
  <c r="Z12" i="2" s="1"/>
  <c r="J17" i="2"/>
  <c r="W17" i="2"/>
  <c r="C169" i="3"/>
  <c r="B171" i="3" l="1"/>
  <c r="C171" i="3" s="1"/>
  <c r="D171" i="3" s="1"/>
  <c r="O12" i="2"/>
  <c r="N12" i="2"/>
  <c r="Q12" i="2"/>
  <c r="P12" i="2"/>
  <c r="AB17" i="2"/>
  <c r="Q17" i="2" s="1"/>
  <c r="M17" i="2"/>
  <c r="AA17" i="2" s="1"/>
  <c r="P17" i="2" s="1"/>
  <c r="K17" i="2"/>
  <c r="L17" i="2"/>
  <c r="Z17" i="2" s="1"/>
  <c r="O17" i="2" s="1"/>
  <c r="C170" i="3"/>
  <c r="H30" i="2" l="1"/>
  <c r="G30" i="2"/>
  <c r="I30" i="2"/>
  <c r="H34" i="2"/>
  <c r="H35" i="2"/>
  <c r="I29" i="2"/>
  <c r="I28" i="2"/>
  <c r="H28" i="2"/>
  <c r="G28" i="2"/>
  <c r="H29" i="2"/>
  <c r="G29" i="2"/>
  <c r="Y17" i="2"/>
  <c r="D169" i="3"/>
  <c r="D170" i="3"/>
  <c r="N17" i="2" l="1"/>
  <c r="F28" i="2" s="1"/>
  <c r="H36" i="2"/>
  <c r="G36" i="2"/>
  <c r="F36" i="2"/>
  <c r="L28" i="2" l="1"/>
  <c r="F30" i="2"/>
  <c r="F29" i="2"/>
  <c r="E36" i="2" l="1"/>
  <c r="B168" i="3" s="1"/>
  <c r="C168" i="3" s="1"/>
  <c r="D168" i="3" s="1"/>
  <c r="L24" i="2" l="1"/>
  <c r="K24" i="2"/>
  <c r="M24" i="2"/>
  <c r="Y24" i="2" l="1"/>
  <c r="Z24" i="2"/>
  <c r="W24" i="2"/>
  <c r="AA24" i="2"/>
  <c r="Q24" i="2"/>
  <c r="U24" i="2"/>
  <c r="P24" i="2" l="1"/>
  <c r="G34" i="2"/>
  <c r="G35" i="2"/>
  <c r="O24" i="2"/>
  <c r="F34" i="2"/>
  <c r="F35" i="2"/>
  <c r="E34" i="2"/>
  <c r="E35" i="2"/>
  <c r="N24" i="2"/>
  <c r="B167" i="3" l="1"/>
  <c r="C167" i="3" s="1"/>
  <c r="D167" i="3" s="1"/>
  <c r="B166" i="3"/>
  <c r="C166" i="3" s="1"/>
  <c r="D166" i="3" s="1"/>
  <c r="D17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tc={04ADCBE8-2BBA-49B9-A817-07B759E4DC0C}</author>
  </authors>
  <commentList>
    <comment ref="J12" authorId="0" shapeId="0" xr:uid="{04ADCBE8-2BBA-49B9-A817-07B759E4DC0C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if this formula makes sense, because this site wasn't actually selected as a target</t>
      </text>
    </comment>
  </commentList>
</comments>
</file>

<file path=xl/sharedStrings.xml><?xml version="1.0" encoding="utf-8"?>
<sst xmlns="http://schemas.openxmlformats.org/spreadsheetml/2006/main" count="1848" uniqueCount="260">
  <si>
    <t>Join_Count</t>
  </si>
  <si>
    <t>TARGET_FID</t>
  </si>
  <si>
    <t>FID_WBDHU1</t>
  </si>
  <si>
    <t>AreaSqKm</t>
  </si>
  <si>
    <t>States</t>
  </si>
  <si>
    <t>HUC12</t>
  </si>
  <si>
    <t>Name</t>
  </si>
  <si>
    <t>HUType</t>
  </si>
  <si>
    <t>HUMod</t>
  </si>
  <si>
    <t>Shape_Leng</t>
  </si>
  <si>
    <t>Shape_Area</t>
  </si>
  <si>
    <t>STATE_NAME</t>
  </si>
  <si>
    <t>Shape__Len</t>
  </si>
  <si>
    <t>Occupied</t>
  </si>
  <si>
    <t>Nurse_Home</t>
  </si>
  <si>
    <t>TNMID</t>
  </si>
  <si>
    <t>MetaSource</t>
  </si>
  <si>
    <t>SourceData</t>
  </si>
  <si>
    <t>SourceOrig</t>
  </si>
  <si>
    <t>SourceFeat</t>
  </si>
  <si>
    <t>LoadDate</t>
  </si>
  <si>
    <t>GNIS_ID</t>
  </si>
  <si>
    <t>AreaAcres</t>
  </si>
  <si>
    <t>AreaSqKm_1</t>
  </si>
  <si>
    <t>States_1</t>
  </si>
  <si>
    <t>HUC6</t>
  </si>
  <si>
    <t>Name_1</t>
  </si>
  <si>
    <t>Shape_Le_1</t>
  </si>
  <si>
    <t>Shape_Ar_1</t>
  </si>
  <si>
    <t>CT</t>
  </si>
  <si>
    <t>010802050104</t>
  </si>
  <si>
    <t>Stony Brook</t>
  </si>
  <si>
    <t>S</t>
  </si>
  <si>
    <t>NM</t>
  </si>
  <si>
    <t>Connecticut</t>
  </si>
  <si>
    <t>Yes</t>
  </si>
  <si>
    <t>No</t>
  </si>
  <si>
    <t>{EE0B9804-0ECE-451A-9CE8-B809A0A658A5}</t>
  </si>
  <si>
    <t>CT,MA,NH,VT</t>
  </si>
  <si>
    <t>010802</t>
  </si>
  <si>
    <t>Lower Connecticut</t>
  </si>
  <si>
    <t>011000020101</t>
  </si>
  <si>
    <t>Edson Brook</t>
  </si>
  <si>
    <t>RS</t>
  </si>
  <si>
    <t>{359FFA4C-D006-4EFF-B1FB-EBB25CA1A5FF}</t>
  </si>
  <si>
    <t>CT,MA,NY,RI</t>
  </si>
  <si>
    <t>011000</t>
  </si>
  <si>
    <t>Connecticut Coastal</t>
  </si>
  <si>
    <t>011000010402</t>
  </si>
  <si>
    <t>Mashamoquet River</t>
  </si>
  <si>
    <t>011000050701</t>
  </si>
  <si>
    <t>Headwaters Shepaug River</t>
  </si>
  <si>
    <t>RS,PD,RC</t>
  </si>
  <si>
    <t>010802050903</t>
  </si>
  <si>
    <t>Eightmile River</t>
  </si>
  <si>
    <t>MA,NH</t>
  </si>
  <si>
    <t>010700040401</t>
  </si>
  <si>
    <t>Nissitissit River</t>
  </si>
  <si>
    <t>Massachusetts</t>
  </si>
  <si>
    <t>{0CCA87C7-6F72-49C5-9AAD-41FFEFE5324B}</t>
  </si>
  <si>
    <t>010700</t>
  </si>
  <si>
    <t>Merrimack</t>
  </si>
  <si>
    <t>MA</t>
  </si>
  <si>
    <t>010802010701</t>
  </si>
  <si>
    <t>Batchelor Brook</t>
  </si>
  <si>
    <t>011000020303</t>
  </si>
  <si>
    <t>Beaver Brook-Shetucket River</t>
  </si>
  <si>
    <t>011000020206</t>
  </si>
  <si>
    <t>Sawmill Brook-Natchaug River</t>
  </si>
  <si>
    <t>011000020202</t>
  </si>
  <si>
    <t>Still River</t>
  </si>
  <si>
    <t>011000020201</t>
  </si>
  <si>
    <t>Bungee Brook</t>
  </si>
  <si>
    <t>010802050802</t>
  </si>
  <si>
    <t>Jeremy River</t>
  </si>
  <si>
    <t>010802040207</t>
  </si>
  <si>
    <t>Danforth Brook-Ware River</t>
  </si>
  <si>
    <t>011000020205</t>
  </si>
  <si>
    <t>Mount Hope River</t>
  </si>
  <si>
    <t>010802070202</t>
  </si>
  <si>
    <t>Upper West Branch Farmington River</t>
  </si>
  <si>
    <t>011000050703</t>
  </si>
  <si>
    <t>Outlet Shepaug River</t>
  </si>
  <si>
    <t>CT,MA</t>
  </si>
  <si>
    <t>011000050301</t>
  </si>
  <si>
    <t>Konkapot River</t>
  </si>
  <si>
    <t>010802060303</t>
  </si>
  <si>
    <t>Little River</t>
  </si>
  <si>
    <t>RS,PD,RC,WD</t>
  </si>
  <si>
    <t>010802010606</t>
  </si>
  <si>
    <t>Mill River</t>
  </si>
  <si>
    <t>010802040205</t>
  </si>
  <si>
    <t>Winimusset Brook-Ware River</t>
  </si>
  <si>
    <t>CT,MA,NY</t>
  </si>
  <si>
    <t>011000050203</t>
  </si>
  <si>
    <t>Hubbard Brook</t>
  </si>
  <si>
    <t>010802040304</t>
  </si>
  <si>
    <t>Mill Brook</t>
  </si>
  <si>
    <t>010802020204</t>
  </si>
  <si>
    <t>Beaver Brook-Millers River</t>
  </si>
  <si>
    <t>011000050902</t>
  </si>
  <si>
    <t>Weekeepeemee River</t>
  </si>
  <si>
    <t>010802040402</t>
  </si>
  <si>
    <t>Outlet Chicopee River</t>
  </si>
  <si>
    <t>AW,RC</t>
  </si>
  <si>
    <t>011000010103</t>
  </si>
  <si>
    <t>McKinstry Brook-Quinebaug River</t>
  </si>
  <si>
    <t>010802020103</t>
  </si>
  <si>
    <t>Tarbell Brook-Millers River</t>
  </si>
  <si>
    <t>010700040202</t>
  </si>
  <si>
    <t>Stillwater River</t>
  </si>
  <si>
    <t>011000050303</t>
  </si>
  <si>
    <t>Blackberry River</t>
  </si>
  <si>
    <t>011000050302</t>
  </si>
  <si>
    <t>Whiting River</t>
  </si>
  <si>
    <t>010802050801</t>
  </si>
  <si>
    <t>Blackledge River</t>
  </si>
  <si>
    <t>010900040204</t>
  </si>
  <si>
    <t>Cotley River-Taunton River</t>
  </si>
  <si>
    <t>{636FEB0C-5CE7-47B6-84C7-D3FA7CD52F67}</t>
  </si>
  <si>
    <t>CT,MA,RI</t>
  </si>
  <si>
    <t>010900</t>
  </si>
  <si>
    <t>Massachusetts-Rhode Island Coastal</t>
  </si>
  <si>
    <t>010802040302</t>
  </si>
  <si>
    <t>East Brookfield River</t>
  </si>
  <si>
    <t>CT,NY</t>
  </si>
  <si>
    <t>011000050503</t>
  </si>
  <si>
    <t>Outlet Webatuck Creek</t>
  </si>
  <si>
    <t>011000050305</t>
  </si>
  <si>
    <t>Salmon Creek</t>
  </si>
  <si>
    <t>MA,NY</t>
  </si>
  <si>
    <t>011000050202</t>
  </si>
  <si>
    <t>Green River</t>
  </si>
  <si>
    <t>011000050201</t>
  </si>
  <si>
    <t>Williams River</t>
  </si>
  <si>
    <t>010802070102</t>
  </si>
  <si>
    <t>Sandy Brook</t>
  </si>
  <si>
    <t>010802070602</t>
  </si>
  <si>
    <t>Mill Brook-Farmington River</t>
  </si>
  <si>
    <t>010802050502</t>
  </si>
  <si>
    <t>Stoughton Brook-Connecticut River</t>
  </si>
  <si>
    <t>010802020203</t>
  </si>
  <si>
    <t>Tully River</t>
  </si>
  <si>
    <t>010700040201</t>
  </si>
  <si>
    <t>Quinapoxet River</t>
  </si>
  <si>
    <t>010700040302</t>
  </si>
  <si>
    <t>Witch Brook-Squannacook River</t>
  </si>
  <si>
    <t>011000050304</t>
  </si>
  <si>
    <t>Hollenbeck River</t>
  </si>
  <si>
    <t>010802040102</t>
  </si>
  <si>
    <t>Headwaters East Branch Swift River</t>
  </si>
  <si>
    <t>020200061001</t>
  </si>
  <si>
    <t>Headwaters Roeliff Jansen Kill</t>
  </si>
  <si>
    <t>{0568CD98-B2B0-490E-A305-2D79FF1D24CB}</t>
  </si>
  <si>
    <t>MA,NJ,NY,VT</t>
  </si>
  <si>
    <t>020200</t>
  </si>
  <si>
    <t>Upper Hudson</t>
  </si>
  <si>
    <t>010802060301</t>
  </si>
  <si>
    <t>Moose Meadow Brook-Westfield River</t>
  </si>
  <si>
    <t>010802050803</t>
  </si>
  <si>
    <t>Pine Brook</t>
  </si>
  <si>
    <t>011000010104</t>
  </si>
  <si>
    <t>Cady Brook-Quinebaug River</t>
  </si>
  <si>
    <t>HUC12_Name</t>
  </si>
  <si>
    <t>ID</t>
  </si>
  <si>
    <t>HUC6_Name</t>
  </si>
  <si>
    <t>STATE</t>
  </si>
  <si>
    <t>Source</t>
  </si>
  <si>
    <t>Selected</t>
  </si>
  <si>
    <t>Distance Score</t>
  </si>
  <si>
    <t>Sourced From</t>
  </si>
  <si>
    <t>same huc</t>
  </si>
  <si>
    <t>same basin</t>
  </si>
  <si>
    <t>same region</t>
  </si>
  <si>
    <t>adjacent region</t>
  </si>
  <si>
    <t>Distance Scores</t>
  </si>
  <si>
    <t>Huc-12 Source</t>
  </si>
  <si>
    <t>Huc-12 Target</t>
  </si>
  <si>
    <t>adjacent basin</t>
  </si>
  <si>
    <t># occupied huc-12s</t>
  </si>
  <si>
    <t># basins w &gt; 1 occpied huc-12</t>
  </si>
  <si>
    <t>distance to source</t>
  </si>
  <si>
    <t>monitoring cost</t>
  </si>
  <si>
    <t>Huc12s per HUC6</t>
  </si>
  <si>
    <t>Shp_ID</t>
  </si>
  <si>
    <t>Count</t>
  </si>
  <si>
    <t>Constraint</t>
  </si>
  <si>
    <t>Portfolio</t>
  </si>
  <si>
    <t>LookupID</t>
  </si>
  <si>
    <t>Basin Occupied</t>
  </si>
  <si>
    <t>Sourced count</t>
  </si>
  <si>
    <t>worst</t>
  </si>
  <si>
    <t>best</t>
  </si>
  <si>
    <t>NatureServe S rank basin</t>
  </si>
  <si>
    <t>Hypotheticals</t>
  </si>
  <si>
    <t>Occupancy</t>
  </si>
  <si>
    <t>Basins</t>
  </si>
  <si>
    <t>NatureServe S rank State</t>
  </si>
  <si>
    <t>Distance</t>
  </si>
  <si>
    <t>Monitoring</t>
  </si>
  <si>
    <t>Dave</t>
  </si>
  <si>
    <t>Allison</t>
  </si>
  <si>
    <t>Ayla</t>
  </si>
  <si>
    <t>Laura</t>
  </si>
  <si>
    <t>Jason</t>
  </si>
  <si>
    <t>Morgan</t>
  </si>
  <si>
    <t>Pete</t>
  </si>
  <si>
    <t>Rank</t>
  </si>
  <si>
    <t>Weight</t>
  </si>
  <si>
    <t>min</t>
  </si>
  <si>
    <t>max</t>
  </si>
  <si>
    <t>avg</t>
  </si>
  <si>
    <t>Keep</t>
  </si>
  <si>
    <t>Scenario</t>
  </si>
  <si>
    <t>Optimal</t>
  </si>
  <si>
    <t>Maine</t>
  </si>
  <si>
    <t>Wessarunset</t>
  </si>
  <si>
    <t>Habitat Status</t>
  </si>
  <si>
    <t>Med-Low</t>
  </si>
  <si>
    <t>Low</t>
  </si>
  <si>
    <t>Good</t>
  </si>
  <si>
    <t>Unknown</t>
  </si>
  <si>
    <t>implementation cost</t>
  </si>
  <si>
    <t>High</t>
  </si>
  <si>
    <t>Pop status (persistence score)</t>
  </si>
  <si>
    <t>Pop Status</t>
  </si>
  <si>
    <t>Imp Cost</t>
  </si>
  <si>
    <t>Future State</t>
  </si>
  <si>
    <t>Risk</t>
  </si>
  <si>
    <t>Habitat</t>
  </si>
  <si>
    <t>Current State</t>
  </si>
  <si>
    <t>Action</t>
  </si>
  <si>
    <t>Med-High</t>
  </si>
  <si>
    <t>Disease</t>
  </si>
  <si>
    <t>Genetic Swamping</t>
  </si>
  <si>
    <t>Introduction</t>
  </si>
  <si>
    <t>No Action</t>
  </si>
  <si>
    <t>Augment</t>
  </si>
  <si>
    <t>Restrained Augment</t>
  </si>
  <si>
    <t>Prop - No Replacement</t>
  </si>
  <si>
    <t>Prop w/Replacement</t>
  </si>
  <si>
    <t>Prop + Aug</t>
  </si>
  <si>
    <t>Prop (source only)</t>
  </si>
  <si>
    <t>Impliment Cost</t>
  </si>
  <si>
    <t>Lookup_Concat</t>
  </si>
  <si>
    <t>Future Status</t>
  </si>
  <si>
    <t>Future Status Value</t>
  </si>
  <si>
    <t>Implement Effort Cost</t>
  </si>
  <si>
    <t>Current Status</t>
  </si>
  <si>
    <t>Remove Maine</t>
  </si>
  <si>
    <t>Column_Number</t>
  </si>
  <si>
    <t>Uncertainty Low</t>
  </si>
  <si>
    <t>Uncertainty High</t>
  </si>
  <si>
    <t>Most Likely</t>
  </si>
  <si>
    <t>Expected Value</t>
  </si>
  <si>
    <t>Future Status Score (Lookup)</t>
  </si>
  <si>
    <t>Uncert Low</t>
  </si>
  <si>
    <t>Uncert High</t>
  </si>
  <si>
    <t>Select Scenario</t>
  </si>
  <si>
    <t>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</si>
</sst>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6">
    <xf numFmtId="0" fontId="0" fillId="0" borderId="0" xfId="0"/>
    <xf numFmtId="1" fontId="0" fillId="0" borderId="0" xfId="0" applyNumberFormat="1"/>
    <xf numFmtId="164" fontId="0" fillId="0" borderId="0" xfId="0" applyNumberFormat="1"/>
    <xf numFmtId="14" fontId="0" fillId="0" borderId="0" xfId="0" applyNumberFormat="1"/>
    <xf numFmtId="2" fontId="0" fillId="0" borderId="0" xfId="0" applyNumberFormat="1"/>
    <xf numFmtId="0" fontId="0" fillId="33" borderId="0" xfId="0" applyFill="1"/>
    <xf numFmtId="0" fontId="0" fillId="0" borderId="0" xfId="0" applyBorder="1"/>
    <xf numFmtId="1" fontId="0" fillId="0" borderId="10" xfId="0" applyNumberFormat="1" applyBorder="1"/>
    <xf numFmtId="0" fontId="0" fillId="0" borderId="10" xfId="0" applyFill="1" applyBorder="1"/>
    <xf numFmtId="0" fontId="0" fillId="0" borderId="0" xfId="0" applyFill="1" applyBorder="1"/>
    <xf numFmtId="0" fontId="0" fillId="0" borderId="12" xfId="0" applyBorder="1"/>
    <xf numFmtId="0" fontId="0" fillId="36" borderId="0" xfId="0" applyFill="1"/>
    <xf numFmtId="0" fontId="0" fillId="0" borderId="11" xfId="0" applyBorder="1"/>
    <xf numFmtId="0" fontId="0" fillId="0" borderId="10" xfId="0" applyBorder="1"/>
    <xf numFmtId="0" fontId="0" fillId="35" borderId="0" xfId="0" applyFill="1"/>
    <xf numFmtId="0" fontId="0" fillId="0" borderId="14" xfId="0" applyBorder="1"/>
    <xf numFmtId="0" fontId="0" fillId="34" borderId="0" xfId="0" applyFill="1"/>
    <xf numFmtId="1" fontId="0" fillId="0" borderId="12" xfId="0" applyNumberFormat="1" applyBorder="1"/>
    <xf numFmtId="0" fontId="0" fillId="35" borderId="13" xfId="0" applyFill="1" applyBorder="1"/>
    <xf numFmtId="0" fontId="0" fillId="0" borderId="0" xfId="0" applyFill="1"/>
    <xf numFmtId="0" fontId="0" fillId="36" borderId="0" xfId="0" applyFill="1" applyBorder="1"/>
    <xf numFmtId="0" fontId="0" fillId="37" borderId="0" xfId="0" applyFill="1"/>
    <xf numFmtId="0" fontId="0" fillId="0" borderId="0" xfId="0"/>
    <xf numFmtId="1" fontId="0" fillId="0" borderId="0" xfId="0" applyNumberFormat="1"/>
    <xf numFmtId="2" fontId="0" fillId="0" borderId="0" xfId="0" applyNumberFormat="1"/>
    <xf numFmtId="1" fontId="0" fillId="39" borderId="0" xfId="0" applyNumberFormat="1" applyFill="1"/>
    <xf numFmtId="1" fontId="0" fillId="40" borderId="0" xfId="0" applyNumberFormat="1" applyFill="1"/>
    <xf numFmtId="1" fontId="19" fillId="4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Alignment="1"/>
    <xf numFmtId="0" fontId="0" fillId="35" borderId="15" xfId="0" applyFill="1" applyBorder="1"/>
    <xf numFmtId="0" fontId="0" fillId="0" borderId="16" xfId="0" applyBorder="1"/>
    <xf numFmtId="0" fontId="0" fillId="0" borderId="17" xfId="0" applyBorder="1"/>
    <xf numFmtId="0" fontId="0" fillId="0" borderId="16" xfId="0" applyFill="1" applyBorder="1"/>
    <xf numFmtId="0" fontId="0" fillId="0" borderId="17" xfId="0" applyFill="1" applyBorder="1"/>
    <xf numFmtId="0" fontId="0" fillId="35" borderId="18" xfId="0" applyFill="1" applyBorder="1"/>
    <xf numFmtId="0" fontId="0" fillId="0" borderId="11" xfId="0" applyFill="1" applyBorder="1"/>
    <xf numFmtId="0" fontId="0" fillId="35" borderId="19" xfId="0" applyFill="1" applyBorder="1"/>
    <xf numFmtId="0" fontId="0" fillId="0" borderId="12" xfId="0" applyFill="1" applyBorder="1"/>
    <xf numFmtId="165" fontId="0" fillId="38" borderId="0" xfId="0" applyNumberFormat="1" applyFill="1"/>
    <xf numFmtId="165" fontId="0" fillId="0" borderId="0" xfId="0" applyNumberFormat="1"/>
    <xf numFmtId="0" fontId="16" fillId="0" borderId="0" xfId="0" applyFont="1"/>
    <xf numFmtId="1" fontId="0" fillId="0" borderId="0" xfId="0" applyNumberFormat="1"/>
    <xf numFmtId="165" fontId="16" fillId="0" borderId="0" xfId="0" applyNumberFormat="1" applyFont="1" applyFill="1"/>
    <xf numFmtId="0" fontId="0" fillId="0" borderId="0" xfId="0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/>
    <xf numFmtId="2" fontId="0" fillId="0" borderId="0" xfId="0" applyNumberFormat="1" applyFill="1"/>
    <xf numFmtId="165" fontId="16" fillId="0" borderId="0" xfId="0" applyNumberFormat="1" applyFont="1"/>
    <xf numFmtId="0" fontId="0" fillId="0" borderId="0" xfId="0" applyAlignment="1">
      <alignment horizontal="center"/>
    </xf>
    <xf numFmtId="0" fontId="0" fillId="41" borderId="0" xfId="0" applyFill="1"/>
    <xf numFmtId="0" fontId="0" fillId="0" borderId="0" xfId="0" applyAlignment="1">
      <alignment horizontal="center"/>
    </xf>
    <xf numFmtId="2" fontId="0" fillId="41" borderId="0" xfId="0" applyNumberFormat="1" applyFill="1"/>
    <xf numFmtId="0" fontId="21" fillId="0" borderId="0" xfId="0" applyFont="1"/>
    <xf numFmtId="1" fontId="21" fillId="0" borderId="0" xfId="0" applyNumberFormat="1" applyFont="1"/>
    <xf numFmtId="2" fontId="2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nathan Cummings" id="{C10C27D7-E8CC-4F94-88CA-817A3008D3EC}" userId="S::jcummings@umassd.edu::b65b3fd7-87d8-49cc-b1b4-2fa4ed3006e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" dT="2020-02-07T16:47:51.28" personId="{C10C27D7-E8CC-4F94-88CA-817A3008D3EC}" id="{04ADCBE8-2BBA-49B9-A817-07B759E4DC0C}">
    <text>Check if this formula makes sense, because this site wasn't actually selected as a target</text>
  </threadedComment>
</ThreadedComment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3"/>
  <sheetViews>
    <sheetView topLeftCell="G1" workbookViewId="0">
      <selection activeCell="F1" sqref="F1:G53"/>
    </sheetView>
  </sheetViews>
  <sheetFormatPr defaultRowHeight="15" x14ac:dyDescent="0.25"/>
  <cols>
    <col min="1" max="1" width="10.5703125" style="1" customWidth="1"/>
    <col min="2" max="2" width="11.140625" style="1" bestFit="1" customWidth="1"/>
    <col min="3" max="3" width="12.28515625" style="1" bestFit="1" customWidth="1"/>
    <col min="4" max="4" width="19.5703125" style="2" customWidth="1"/>
    <col min="5" max="5" width="9" style="1" bestFit="1" customWidth="1"/>
    <col min="6" max="6" width="12.85546875" style="1" bestFit="1" customWidth="1"/>
    <col min="7" max="7" width="33.42578125" style="1" bestFit="1" customWidth="1"/>
    <col min="8" max="8" width="7.42578125" style="1" bestFit="1" customWidth="1"/>
    <col min="9" max="9" width="11.7109375" style="1" bestFit="1" customWidth="1"/>
    <col min="10" max="10" width="18.5703125" style="2" bestFit="1" customWidth="1"/>
    <col min="11" max="11" width="21.5703125" style="2" bestFit="1" customWidth="1"/>
    <col min="12" max="12" width="13.140625" style="1" bestFit="1" customWidth="1"/>
    <col min="13" max="13" width="19.5703125" style="2" bestFit="1" customWidth="1"/>
    <col min="14" max="14" width="8.5703125" style="1" bestFit="1" customWidth="1"/>
    <col min="15" max="15" width="11.7109375" style="1" bestFit="1" customWidth="1"/>
    <col min="16" max="16" width="38.5703125" style="1" bestFit="1" customWidth="1"/>
    <col min="17" max="17" width="10.85546875" style="1" bestFit="1" customWidth="1"/>
    <col min="18" max="18" width="10.42578125" style="1" bestFit="1" customWidth="1"/>
    <col min="19" max="19" width="9.85546875" style="1" bestFit="1" customWidth="1"/>
    <col min="20" max="20" width="10" style="1" bestFit="1" customWidth="1"/>
    <col min="21" max="21" width="9.42578125" bestFit="1" customWidth="1"/>
    <col min="22" max="22" width="7.5703125" style="1" bestFit="1" customWidth="1"/>
    <col min="23" max="23" width="19.5703125" style="2" bestFit="1" customWidth="1"/>
    <col min="24" max="24" width="17.5703125" style="2" bestFit="1" customWidth="1"/>
    <col min="25" max="25" width="11.85546875" style="1" bestFit="1" customWidth="1"/>
    <col min="26" max="26" width="6.85546875" style="1" bestFit="1" customWidth="1"/>
    <col min="27" max="27" width="31.5703125" style="1" bestFit="1" customWidth="1"/>
    <col min="28" max="28" width="19.5703125" style="2" bestFit="1" customWidth="1"/>
    <col min="29" max="29" width="23.5703125" style="2" bestFit="1" customWidth="1"/>
  </cols>
  <sheetData>
    <row r="1" spans="1:29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t="s">
        <v>20</v>
      </c>
      <c r="V1" s="1" t="s">
        <v>21</v>
      </c>
      <c r="W1" s="2" t="s">
        <v>22</v>
      </c>
      <c r="X1" s="2" t="s">
        <v>23</v>
      </c>
      <c r="Y1" s="1" t="s">
        <v>24</v>
      </c>
      <c r="Z1" s="1" t="s">
        <v>25</v>
      </c>
      <c r="AA1" s="1" t="s">
        <v>26</v>
      </c>
      <c r="AB1" s="2" t="s">
        <v>27</v>
      </c>
      <c r="AC1" s="2" t="s">
        <v>28</v>
      </c>
    </row>
    <row r="2" spans="1:29" x14ac:dyDescent="0.25">
      <c r="A2" s="1">
        <v>1</v>
      </c>
      <c r="B2" s="1">
        <v>0</v>
      </c>
      <c r="C2" s="1">
        <v>41</v>
      </c>
      <c r="D2" s="2">
        <v>63.42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2">
        <v>52769.879481900003</v>
      </c>
      <c r="K2" s="2">
        <v>63411652.3539</v>
      </c>
      <c r="L2" s="1" t="s">
        <v>34</v>
      </c>
      <c r="M2" s="2">
        <v>4075494.1644199998</v>
      </c>
      <c r="N2" s="1" t="s">
        <v>35</v>
      </c>
      <c r="O2" s="1" t="s">
        <v>36</v>
      </c>
      <c r="P2" s="1" t="s">
        <v>37</v>
      </c>
      <c r="U2" s="3">
        <v>41071</v>
      </c>
      <c r="V2" s="1">
        <v>0</v>
      </c>
      <c r="W2" s="2">
        <v>3202146.97</v>
      </c>
      <c r="X2" s="2">
        <v>12958.64</v>
      </c>
      <c r="Y2" s="1" t="s">
        <v>38</v>
      </c>
      <c r="Z2" s="1" t="s">
        <v>39</v>
      </c>
      <c r="AA2" s="1" t="s">
        <v>40</v>
      </c>
      <c r="AB2" s="2">
        <v>1026503.14139</v>
      </c>
      <c r="AC2" s="2">
        <v>12958484146.700001</v>
      </c>
    </row>
    <row r="3" spans="1:29" x14ac:dyDescent="0.25">
      <c r="A3" s="1">
        <v>1</v>
      </c>
      <c r="B3" s="1">
        <v>1</v>
      </c>
      <c r="C3" s="1">
        <v>53</v>
      </c>
      <c r="D3" s="2">
        <v>45.61</v>
      </c>
      <c r="E3" s="1" t="s">
        <v>29</v>
      </c>
      <c r="F3" s="1" t="s">
        <v>41</v>
      </c>
      <c r="G3" s="1" t="s">
        <v>42</v>
      </c>
      <c r="H3" s="1" t="s">
        <v>32</v>
      </c>
      <c r="I3" s="1" t="s">
        <v>43</v>
      </c>
      <c r="J3" s="2">
        <v>37040.666827699999</v>
      </c>
      <c r="K3" s="2">
        <v>45609406.658299997</v>
      </c>
      <c r="L3" s="1" t="s">
        <v>34</v>
      </c>
      <c r="M3" s="2">
        <v>4075494.1644199998</v>
      </c>
      <c r="N3" s="1" t="s">
        <v>35</v>
      </c>
      <c r="O3" s="1" t="s">
        <v>36</v>
      </c>
      <c r="P3" s="1" t="s">
        <v>44</v>
      </c>
      <c r="U3" s="3">
        <v>42553</v>
      </c>
      <c r="V3" s="1">
        <v>0</v>
      </c>
      <c r="W3" s="2">
        <v>2909905.89</v>
      </c>
      <c r="X3" s="2">
        <v>11775.98</v>
      </c>
      <c r="Y3" s="1" t="s">
        <v>45</v>
      </c>
      <c r="Z3" s="1" t="s">
        <v>46</v>
      </c>
      <c r="AA3" s="1" t="s">
        <v>47</v>
      </c>
      <c r="AB3" s="2">
        <v>1767585.5729799999</v>
      </c>
      <c r="AC3" s="2">
        <v>11776457312.799999</v>
      </c>
    </row>
    <row r="4" spans="1:29" x14ac:dyDescent="0.25">
      <c r="A4" s="1">
        <v>1</v>
      </c>
      <c r="B4" s="1">
        <v>2</v>
      </c>
      <c r="C4" s="1">
        <v>59</v>
      </c>
      <c r="D4" s="2">
        <v>87.87</v>
      </c>
      <c r="E4" s="1" t="s">
        <v>29</v>
      </c>
      <c r="F4" s="1" t="s">
        <v>48</v>
      </c>
      <c r="G4" s="1" t="s">
        <v>49</v>
      </c>
      <c r="H4" s="1" t="s">
        <v>32</v>
      </c>
      <c r="I4" s="1" t="s">
        <v>43</v>
      </c>
      <c r="J4" s="2">
        <v>61353.609534900002</v>
      </c>
      <c r="K4" s="2">
        <v>87863857.368200004</v>
      </c>
      <c r="L4" s="1" t="s">
        <v>34</v>
      </c>
      <c r="M4" s="2">
        <v>4075494.1644199998</v>
      </c>
      <c r="N4" s="1" t="s">
        <v>35</v>
      </c>
      <c r="O4" s="1" t="s">
        <v>36</v>
      </c>
      <c r="P4" s="1" t="s">
        <v>44</v>
      </c>
      <c r="U4" s="3">
        <v>42553</v>
      </c>
      <c r="V4" s="1">
        <v>0</v>
      </c>
      <c r="W4" s="2">
        <v>2909905.89</v>
      </c>
      <c r="X4" s="2">
        <v>11775.98</v>
      </c>
      <c r="Y4" s="1" t="s">
        <v>45</v>
      </c>
      <c r="Z4" s="1" t="s">
        <v>46</v>
      </c>
      <c r="AA4" s="1" t="s">
        <v>47</v>
      </c>
      <c r="AB4" s="2">
        <v>1767585.5729799999</v>
      </c>
      <c r="AC4" s="2">
        <v>11776457312.799999</v>
      </c>
    </row>
    <row r="5" spans="1:29" x14ac:dyDescent="0.25">
      <c r="A5" s="1">
        <v>1</v>
      </c>
      <c r="B5" s="1">
        <v>3</v>
      </c>
      <c r="C5" s="1">
        <v>114</v>
      </c>
      <c r="D5" s="2">
        <v>105.41</v>
      </c>
      <c r="E5" s="1" t="s">
        <v>29</v>
      </c>
      <c r="F5" s="1" t="s">
        <v>50</v>
      </c>
      <c r="G5" s="1" t="s">
        <v>51</v>
      </c>
      <c r="H5" s="1" t="s">
        <v>32</v>
      </c>
      <c r="I5" s="1" t="s">
        <v>52</v>
      </c>
      <c r="J5" s="2">
        <v>75184.029389200005</v>
      </c>
      <c r="K5" s="2">
        <v>105409291.183</v>
      </c>
      <c r="L5" s="1" t="s">
        <v>34</v>
      </c>
      <c r="M5" s="2">
        <v>4075494.1644199998</v>
      </c>
      <c r="N5" s="1" t="s">
        <v>35</v>
      </c>
      <c r="O5" s="1" t="s">
        <v>36</v>
      </c>
      <c r="P5" s="1" t="s">
        <v>44</v>
      </c>
      <c r="U5" s="3">
        <v>42553</v>
      </c>
      <c r="V5" s="1">
        <v>0</v>
      </c>
      <c r="W5" s="2">
        <v>2909905.89</v>
      </c>
      <c r="X5" s="2">
        <v>11775.98</v>
      </c>
      <c r="Y5" s="1" t="s">
        <v>45</v>
      </c>
      <c r="Z5" s="1" t="s">
        <v>46</v>
      </c>
      <c r="AA5" s="1" t="s">
        <v>47</v>
      </c>
      <c r="AB5" s="2">
        <v>1767585.5729799999</v>
      </c>
      <c r="AC5" s="2">
        <v>11776457312.799999</v>
      </c>
    </row>
    <row r="6" spans="1:29" x14ac:dyDescent="0.25">
      <c r="A6" s="1">
        <v>1</v>
      </c>
      <c r="B6" s="1">
        <v>4</v>
      </c>
      <c r="C6" s="1">
        <v>232</v>
      </c>
      <c r="D6" s="2">
        <v>103.26</v>
      </c>
      <c r="E6" s="1" t="s">
        <v>29</v>
      </c>
      <c r="F6" s="1" t="s">
        <v>53</v>
      </c>
      <c r="G6" s="1" t="s">
        <v>54</v>
      </c>
      <c r="H6" s="1" t="s">
        <v>32</v>
      </c>
      <c r="I6" s="1" t="s">
        <v>33</v>
      </c>
      <c r="J6" s="2">
        <v>80661.790672200004</v>
      </c>
      <c r="K6" s="2">
        <v>103265382.433</v>
      </c>
      <c r="L6" s="1" t="s">
        <v>34</v>
      </c>
      <c r="M6" s="2">
        <v>4075494.1644199998</v>
      </c>
      <c r="N6" s="1" t="s">
        <v>35</v>
      </c>
      <c r="O6" s="1" t="s">
        <v>36</v>
      </c>
      <c r="P6" s="1" t="s">
        <v>37</v>
      </c>
      <c r="U6" s="3">
        <v>41071</v>
      </c>
      <c r="V6" s="1">
        <v>0</v>
      </c>
      <c r="W6" s="2">
        <v>3202146.97</v>
      </c>
      <c r="X6" s="2">
        <v>12958.64</v>
      </c>
      <c r="Y6" s="1" t="s">
        <v>38</v>
      </c>
      <c r="Z6" s="1" t="s">
        <v>39</v>
      </c>
      <c r="AA6" s="1" t="s">
        <v>40</v>
      </c>
      <c r="AB6" s="2">
        <v>1026503.14139</v>
      </c>
      <c r="AC6" s="2">
        <v>12958484146.700001</v>
      </c>
    </row>
    <row r="7" spans="1:29" x14ac:dyDescent="0.25">
      <c r="A7" s="1">
        <v>1</v>
      </c>
      <c r="B7" s="1">
        <v>5</v>
      </c>
      <c r="C7" s="1">
        <v>254</v>
      </c>
      <c r="D7" s="2">
        <v>157.16999999999999</v>
      </c>
      <c r="E7" s="1" t="s">
        <v>55</v>
      </c>
      <c r="F7" s="1" t="s">
        <v>56</v>
      </c>
      <c r="G7" s="1" t="s">
        <v>57</v>
      </c>
      <c r="H7" s="1" t="s">
        <v>32</v>
      </c>
      <c r="I7" s="1" t="s">
        <v>33</v>
      </c>
      <c r="J7" s="2">
        <v>83119.652128700007</v>
      </c>
      <c r="K7" s="2">
        <v>157172971.20899999</v>
      </c>
      <c r="L7" s="1" t="s">
        <v>58</v>
      </c>
      <c r="M7" s="2">
        <v>6212599.72896</v>
      </c>
      <c r="N7" s="1" t="s">
        <v>35</v>
      </c>
      <c r="O7" s="1" t="s">
        <v>36</v>
      </c>
      <c r="P7" s="1" t="s">
        <v>59</v>
      </c>
      <c r="U7" s="3">
        <v>41071</v>
      </c>
      <c r="V7" s="1">
        <v>0</v>
      </c>
      <c r="W7" s="2">
        <v>3203414.96</v>
      </c>
      <c r="X7" s="2">
        <v>12963.77</v>
      </c>
      <c r="Y7" s="1" t="s">
        <v>55</v>
      </c>
      <c r="Z7" s="1" t="s">
        <v>60</v>
      </c>
      <c r="AA7" s="1" t="s">
        <v>61</v>
      </c>
      <c r="AB7" s="2">
        <v>1011740.47622</v>
      </c>
      <c r="AC7" s="2">
        <v>12967342837.9</v>
      </c>
    </row>
    <row r="8" spans="1:29" x14ac:dyDescent="0.25">
      <c r="A8" s="1">
        <v>1</v>
      </c>
      <c r="B8" s="1">
        <v>6</v>
      </c>
      <c r="C8" s="1">
        <v>331</v>
      </c>
      <c r="D8" s="2">
        <v>81.67</v>
      </c>
      <c r="E8" s="1" t="s">
        <v>62</v>
      </c>
      <c r="F8" s="1" t="s">
        <v>63</v>
      </c>
      <c r="G8" s="1" t="s">
        <v>64</v>
      </c>
      <c r="H8" s="1" t="s">
        <v>32</v>
      </c>
      <c r="I8" s="1" t="s">
        <v>33</v>
      </c>
      <c r="J8" s="2">
        <v>57939.755118300003</v>
      </c>
      <c r="K8" s="2">
        <v>81659818.032800004</v>
      </c>
      <c r="L8" s="1" t="s">
        <v>58</v>
      </c>
      <c r="M8" s="2">
        <v>6212599.72896</v>
      </c>
      <c r="N8" s="1" t="s">
        <v>35</v>
      </c>
      <c r="O8" s="1" t="s">
        <v>36</v>
      </c>
      <c r="P8" s="1" t="s">
        <v>37</v>
      </c>
      <c r="U8" s="3">
        <v>41071</v>
      </c>
      <c r="V8" s="1">
        <v>0</v>
      </c>
      <c r="W8" s="2">
        <v>3202146.97</v>
      </c>
      <c r="X8" s="2">
        <v>12958.64</v>
      </c>
      <c r="Y8" s="1" t="s">
        <v>38</v>
      </c>
      <c r="Z8" s="1" t="s">
        <v>39</v>
      </c>
      <c r="AA8" s="1" t="s">
        <v>40</v>
      </c>
      <c r="AB8" s="2">
        <v>1026503.14139</v>
      </c>
      <c r="AC8" s="2">
        <v>12958484146.700001</v>
      </c>
    </row>
    <row r="9" spans="1:29" x14ac:dyDescent="0.25">
      <c r="A9" s="1">
        <v>1</v>
      </c>
      <c r="B9" s="1">
        <v>7</v>
      </c>
      <c r="C9" s="1">
        <v>337</v>
      </c>
      <c r="D9" s="2">
        <v>157.6</v>
      </c>
      <c r="E9" s="1" t="s">
        <v>29</v>
      </c>
      <c r="F9" s="1" t="s">
        <v>65</v>
      </c>
      <c r="G9" s="1" t="s">
        <v>66</v>
      </c>
      <c r="H9" s="1" t="s">
        <v>32</v>
      </c>
      <c r="I9" s="1" t="s">
        <v>33</v>
      </c>
      <c r="J9" s="2">
        <v>115797.69463100001</v>
      </c>
      <c r="K9" s="2">
        <v>157608693.82600001</v>
      </c>
      <c r="L9" s="1" t="s">
        <v>34</v>
      </c>
      <c r="M9" s="2">
        <v>4075494.1644199998</v>
      </c>
      <c r="N9" s="1" t="s">
        <v>35</v>
      </c>
      <c r="O9" s="1" t="s">
        <v>35</v>
      </c>
      <c r="P9" s="1" t="s">
        <v>44</v>
      </c>
      <c r="U9" s="3">
        <v>42553</v>
      </c>
      <c r="V9" s="1">
        <v>0</v>
      </c>
      <c r="W9" s="2">
        <v>2909905.89</v>
      </c>
      <c r="X9" s="2">
        <v>11775.98</v>
      </c>
      <c r="Y9" s="1" t="s">
        <v>45</v>
      </c>
      <c r="Z9" s="1" t="s">
        <v>46</v>
      </c>
      <c r="AA9" s="1" t="s">
        <v>47</v>
      </c>
      <c r="AB9" s="2">
        <v>1767585.5729799999</v>
      </c>
      <c r="AC9" s="2">
        <v>11776457312.799999</v>
      </c>
    </row>
    <row r="10" spans="1:29" x14ac:dyDescent="0.25">
      <c r="A10" s="1">
        <v>1</v>
      </c>
      <c r="B10" s="1">
        <v>8</v>
      </c>
      <c r="C10" s="1">
        <v>338</v>
      </c>
      <c r="D10" s="2">
        <v>110.99</v>
      </c>
      <c r="E10" s="1" t="s">
        <v>29</v>
      </c>
      <c r="F10" s="1" t="s">
        <v>67</v>
      </c>
      <c r="G10" s="1" t="s">
        <v>68</v>
      </c>
      <c r="H10" s="1" t="s">
        <v>32</v>
      </c>
      <c r="I10" s="1" t="s">
        <v>43</v>
      </c>
      <c r="J10" s="2">
        <v>80672.957437999998</v>
      </c>
      <c r="K10" s="2">
        <v>110987817.646</v>
      </c>
      <c r="L10" s="1" t="s">
        <v>34</v>
      </c>
      <c r="M10" s="2">
        <v>4075494.1644199998</v>
      </c>
      <c r="N10" s="1" t="s">
        <v>35</v>
      </c>
      <c r="O10" s="1" t="s">
        <v>35</v>
      </c>
      <c r="P10" s="1" t="s">
        <v>44</v>
      </c>
      <c r="U10" s="3">
        <v>42553</v>
      </c>
      <c r="V10" s="1">
        <v>0</v>
      </c>
      <c r="W10" s="2">
        <v>2909905.89</v>
      </c>
      <c r="X10" s="2">
        <v>11775.98</v>
      </c>
      <c r="Y10" s="1" t="s">
        <v>45</v>
      </c>
      <c r="Z10" s="1" t="s">
        <v>46</v>
      </c>
      <c r="AA10" s="1" t="s">
        <v>47</v>
      </c>
      <c r="AB10" s="2">
        <v>1767585.5729799999</v>
      </c>
      <c r="AC10" s="2">
        <v>11776457312.799999</v>
      </c>
    </row>
    <row r="11" spans="1:29" x14ac:dyDescent="0.25">
      <c r="A11" s="1">
        <v>1</v>
      </c>
      <c r="B11" s="1">
        <v>9</v>
      </c>
      <c r="C11" s="1">
        <v>339</v>
      </c>
      <c r="D11" s="2">
        <v>41.35</v>
      </c>
      <c r="E11" s="1" t="s">
        <v>29</v>
      </c>
      <c r="F11" s="1" t="s">
        <v>69</v>
      </c>
      <c r="G11" s="1" t="s">
        <v>70</v>
      </c>
      <c r="H11" s="1" t="s">
        <v>32</v>
      </c>
      <c r="I11" s="1" t="s">
        <v>43</v>
      </c>
      <c r="J11" s="2">
        <v>50378.3159256</v>
      </c>
      <c r="K11" s="2">
        <v>41351948.147</v>
      </c>
      <c r="L11" s="1" t="s">
        <v>34</v>
      </c>
      <c r="M11" s="2">
        <v>4075494.1644199998</v>
      </c>
      <c r="N11" s="1" t="s">
        <v>35</v>
      </c>
      <c r="O11" s="1" t="s">
        <v>35</v>
      </c>
      <c r="P11" s="1" t="s">
        <v>44</v>
      </c>
      <c r="U11" s="3">
        <v>42553</v>
      </c>
      <c r="V11" s="1">
        <v>0</v>
      </c>
      <c r="W11" s="2">
        <v>2909905.89</v>
      </c>
      <c r="X11" s="2">
        <v>11775.98</v>
      </c>
      <c r="Y11" s="1" t="s">
        <v>45</v>
      </c>
      <c r="Z11" s="1" t="s">
        <v>46</v>
      </c>
      <c r="AA11" s="1" t="s">
        <v>47</v>
      </c>
      <c r="AB11" s="2">
        <v>1767585.5729799999</v>
      </c>
      <c r="AC11" s="2">
        <v>11776457312.799999</v>
      </c>
    </row>
    <row r="12" spans="1:29" x14ac:dyDescent="0.25">
      <c r="A12" s="1">
        <v>1</v>
      </c>
      <c r="B12" s="1">
        <v>10</v>
      </c>
      <c r="C12" s="1">
        <v>340</v>
      </c>
      <c r="D12" s="2">
        <v>43.42</v>
      </c>
      <c r="E12" s="1" t="s">
        <v>29</v>
      </c>
      <c r="F12" s="1" t="s">
        <v>71</v>
      </c>
      <c r="G12" s="1" t="s">
        <v>72</v>
      </c>
      <c r="H12" s="1" t="s">
        <v>32</v>
      </c>
      <c r="I12" s="1" t="s">
        <v>43</v>
      </c>
      <c r="J12" s="2">
        <v>39486.872384000002</v>
      </c>
      <c r="K12" s="2">
        <v>43416665.032600001</v>
      </c>
      <c r="L12" s="1" t="s">
        <v>34</v>
      </c>
      <c r="M12" s="2">
        <v>4075494.1644199998</v>
      </c>
      <c r="N12" s="1" t="s">
        <v>35</v>
      </c>
      <c r="O12" s="1" t="s">
        <v>35</v>
      </c>
      <c r="P12" s="1" t="s">
        <v>44</v>
      </c>
      <c r="U12" s="3">
        <v>42553</v>
      </c>
      <c r="V12" s="1">
        <v>0</v>
      </c>
      <c r="W12" s="2">
        <v>2909905.89</v>
      </c>
      <c r="X12" s="2">
        <v>11775.98</v>
      </c>
      <c r="Y12" s="1" t="s">
        <v>45</v>
      </c>
      <c r="Z12" s="1" t="s">
        <v>46</v>
      </c>
      <c r="AA12" s="1" t="s">
        <v>47</v>
      </c>
      <c r="AB12" s="2">
        <v>1767585.5729799999</v>
      </c>
      <c r="AC12" s="2">
        <v>11776457312.799999</v>
      </c>
    </row>
    <row r="13" spans="1:29" x14ac:dyDescent="0.25">
      <c r="A13" s="1">
        <v>1</v>
      </c>
      <c r="B13" s="1">
        <v>11</v>
      </c>
      <c r="C13" s="1">
        <v>418</v>
      </c>
      <c r="D13" s="2">
        <v>111.83</v>
      </c>
      <c r="E13" s="1" t="s">
        <v>29</v>
      </c>
      <c r="F13" s="1" t="s">
        <v>73</v>
      </c>
      <c r="G13" s="1" t="s">
        <v>74</v>
      </c>
      <c r="H13" s="1" t="s">
        <v>32</v>
      </c>
      <c r="I13" s="1" t="s">
        <v>43</v>
      </c>
      <c r="J13" s="2">
        <v>64766.160320800002</v>
      </c>
      <c r="K13" s="2">
        <v>111836798.54099999</v>
      </c>
      <c r="L13" s="1" t="s">
        <v>34</v>
      </c>
      <c r="M13" s="2">
        <v>4075494.1644199998</v>
      </c>
      <c r="N13" s="1" t="s">
        <v>35</v>
      </c>
      <c r="O13" s="1" t="s">
        <v>36</v>
      </c>
      <c r="P13" s="1" t="s">
        <v>37</v>
      </c>
      <c r="U13" s="3">
        <v>41071</v>
      </c>
      <c r="V13" s="1">
        <v>0</v>
      </c>
      <c r="W13" s="2">
        <v>3202146.97</v>
      </c>
      <c r="X13" s="2">
        <v>12958.64</v>
      </c>
      <c r="Y13" s="1" t="s">
        <v>38</v>
      </c>
      <c r="Z13" s="1" t="s">
        <v>39</v>
      </c>
      <c r="AA13" s="1" t="s">
        <v>40</v>
      </c>
      <c r="AB13" s="2">
        <v>1026503.14139</v>
      </c>
      <c r="AC13" s="2">
        <v>12958484146.700001</v>
      </c>
    </row>
    <row r="14" spans="1:29" x14ac:dyDescent="0.25">
      <c r="A14" s="1">
        <v>1</v>
      </c>
      <c r="B14" s="1">
        <v>12</v>
      </c>
      <c r="C14" s="1">
        <v>421</v>
      </c>
      <c r="D14" s="2">
        <v>115.95</v>
      </c>
      <c r="E14" s="1" t="s">
        <v>62</v>
      </c>
      <c r="F14" s="1" t="s">
        <v>75</v>
      </c>
      <c r="G14" s="1" t="s">
        <v>76</v>
      </c>
      <c r="H14" s="1" t="s">
        <v>32</v>
      </c>
      <c r="I14" s="1" t="s">
        <v>43</v>
      </c>
      <c r="J14" s="2">
        <v>107294.722864</v>
      </c>
      <c r="K14" s="2">
        <v>115941818.64</v>
      </c>
      <c r="L14" s="1" t="s">
        <v>58</v>
      </c>
      <c r="M14" s="2">
        <v>6212599.72896</v>
      </c>
      <c r="N14" s="1" t="s">
        <v>35</v>
      </c>
      <c r="O14" s="1" t="s">
        <v>36</v>
      </c>
      <c r="P14" s="1" t="s">
        <v>37</v>
      </c>
      <c r="U14" s="3">
        <v>41071</v>
      </c>
      <c r="V14" s="1">
        <v>0</v>
      </c>
      <c r="W14" s="2">
        <v>3202146.97</v>
      </c>
      <c r="X14" s="2">
        <v>12958.64</v>
      </c>
      <c r="Y14" s="1" t="s">
        <v>38</v>
      </c>
      <c r="Z14" s="1" t="s">
        <v>39</v>
      </c>
      <c r="AA14" s="1" t="s">
        <v>40</v>
      </c>
      <c r="AB14" s="2">
        <v>1026503.14139</v>
      </c>
      <c r="AC14" s="2">
        <v>12958484146.700001</v>
      </c>
    </row>
    <row r="15" spans="1:29" x14ac:dyDescent="0.25">
      <c r="A15" s="1">
        <v>1</v>
      </c>
      <c r="B15" s="1">
        <v>13</v>
      </c>
      <c r="C15" s="1">
        <v>425</v>
      </c>
      <c r="D15" s="2">
        <v>94.84</v>
      </c>
      <c r="E15" s="1" t="s">
        <v>29</v>
      </c>
      <c r="F15" s="1" t="s">
        <v>77</v>
      </c>
      <c r="G15" s="1" t="s">
        <v>78</v>
      </c>
      <c r="H15" s="1" t="s">
        <v>32</v>
      </c>
      <c r="I15" s="1" t="s">
        <v>33</v>
      </c>
      <c r="J15" s="2">
        <v>67695.710743699994</v>
      </c>
      <c r="K15" s="2">
        <v>94835213.384800002</v>
      </c>
      <c r="L15" s="1" t="s">
        <v>34</v>
      </c>
      <c r="M15" s="2">
        <v>4075494.1644199998</v>
      </c>
      <c r="N15" s="1" t="s">
        <v>35</v>
      </c>
      <c r="O15" s="1" t="s">
        <v>35</v>
      </c>
      <c r="P15" s="1" t="s">
        <v>44</v>
      </c>
      <c r="U15" s="3">
        <v>42553</v>
      </c>
      <c r="V15" s="1">
        <v>0</v>
      </c>
      <c r="W15" s="2">
        <v>2909905.89</v>
      </c>
      <c r="X15" s="2">
        <v>11775.98</v>
      </c>
      <c r="Y15" s="1" t="s">
        <v>45</v>
      </c>
      <c r="Z15" s="1" t="s">
        <v>46</v>
      </c>
      <c r="AA15" s="1" t="s">
        <v>47</v>
      </c>
      <c r="AB15" s="2">
        <v>1767585.5729799999</v>
      </c>
      <c r="AC15" s="2">
        <v>11776457312.799999</v>
      </c>
    </row>
    <row r="16" spans="1:29" x14ac:dyDescent="0.25">
      <c r="A16" s="1">
        <v>1</v>
      </c>
      <c r="B16" s="1">
        <v>14</v>
      </c>
      <c r="C16" s="1">
        <v>496</v>
      </c>
      <c r="D16" s="2">
        <v>113.18</v>
      </c>
      <c r="E16" s="1" t="s">
        <v>62</v>
      </c>
      <c r="F16" s="1" t="s">
        <v>79</v>
      </c>
      <c r="G16" s="1" t="s">
        <v>80</v>
      </c>
      <c r="H16" s="1" t="s">
        <v>32</v>
      </c>
      <c r="I16" s="1" t="s">
        <v>43</v>
      </c>
      <c r="J16" s="2">
        <v>85018.344826400004</v>
      </c>
      <c r="K16" s="2">
        <v>113175338.39399999</v>
      </c>
      <c r="L16" s="1" t="s">
        <v>58</v>
      </c>
      <c r="M16" s="2">
        <v>6212599.72896</v>
      </c>
      <c r="N16" s="1" t="s">
        <v>35</v>
      </c>
      <c r="O16" s="1" t="s">
        <v>36</v>
      </c>
      <c r="P16" s="1" t="s">
        <v>37</v>
      </c>
      <c r="U16" s="3">
        <v>41071</v>
      </c>
      <c r="V16" s="1">
        <v>0</v>
      </c>
      <c r="W16" s="2">
        <v>3202146.97</v>
      </c>
      <c r="X16" s="2">
        <v>12958.64</v>
      </c>
      <c r="Y16" s="1" t="s">
        <v>38</v>
      </c>
      <c r="Z16" s="1" t="s">
        <v>39</v>
      </c>
      <c r="AA16" s="1" t="s">
        <v>40</v>
      </c>
      <c r="AB16" s="2">
        <v>1026503.14139</v>
      </c>
      <c r="AC16" s="2">
        <v>12958484146.700001</v>
      </c>
    </row>
    <row r="17" spans="1:29" x14ac:dyDescent="0.25">
      <c r="A17" s="1">
        <v>1</v>
      </c>
      <c r="B17" s="1">
        <v>15</v>
      </c>
      <c r="C17" s="1">
        <v>21</v>
      </c>
      <c r="D17" s="2">
        <v>155.35</v>
      </c>
      <c r="E17" s="1" t="s">
        <v>29</v>
      </c>
      <c r="F17" s="1" t="s">
        <v>81</v>
      </c>
      <c r="G17" s="1" t="s">
        <v>82</v>
      </c>
      <c r="H17" s="1" t="s">
        <v>32</v>
      </c>
      <c r="I17" s="1" t="s">
        <v>43</v>
      </c>
      <c r="J17" s="2">
        <v>82776.110620099993</v>
      </c>
      <c r="K17" s="2">
        <v>155352621.56600001</v>
      </c>
      <c r="L17" s="1" t="s">
        <v>34</v>
      </c>
      <c r="M17" s="2">
        <v>4075494.1644199998</v>
      </c>
      <c r="P17" s="1" t="s">
        <v>44</v>
      </c>
      <c r="U17" s="3">
        <v>42553</v>
      </c>
      <c r="V17" s="1">
        <v>0</v>
      </c>
      <c r="W17" s="2">
        <v>2909905.89</v>
      </c>
      <c r="X17" s="2">
        <v>11775.98</v>
      </c>
      <c r="Y17" s="1" t="s">
        <v>45</v>
      </c>
      <c r="Z17" s="1" t="s">
        <v>46</v>
      </c>
      <c r="AA17" s="1" t="s">
        <v>47</v>
      </c>
      <c r="AB17" s="2">
        <v>1767585.5729799999</v>
      </c>
      <c r="AC17" s="2">
        <v>11776457312.799999</v>
      </c>
    </row>
    <row r="18" spans="1:29" x14ac:dyDescent="0.25">
      <c r="A18" s="1">
        <v>1</v>
      </c>
      <c r="B18" s="1">
        <v>16</v>
      </c>
      <c r="C18" s="1">
        <v>22</v>
      </c>
      <c r="D18" s="2">
        <v>159.74</v>
      </c>
      <c r="E18" s="1" t="s">
        <v>83</v>
      </c>
      <c r="F18" s="1" t="s">
        <v>84</v>
      </c>
      <c r="G18" s="1" t="s">
        <v>85</v>
      </c>
      <c r="H18" s="1" t="s">
        <v>32</v>
      </c>
      <c r="I18" s="1" t="s">
        <v>43</v>
      </c>
      <c r="J18" s="2">
        <v>92067.642282800007</v>
      </c>
      <c r="K18" s="2">
        <v>159732110.63100001</v>
      </c>
      <c r="L18" s="1" t="s">
        <v>58</v>
      </c>
      <c r="M18" s="2">
        <v>6212599.72896</v>
      </c>
      <c r="P18" s="1" t="s">
        <v>44</v>
      </c>
      <c r="U18" s="3">
        <v>42553</v>
      </c>
      <c r="V18" s="1">
        <v>0</v>
      </c>
      <c r="W18" s="2">
        <v>2909905.89</v>
      </c>
      <c r="X18" s="2">
        <v>11775.98</v>
      </c>
      <c r="Y18" s="1" t="s">
        <v>45</v>
      </c>
      <c r="Z18" s="1" t="s">
        <v>46</v>
      </c>
      <c r="AA18" s="1" t="s">
        <v>47</v>
      </c>
      <c r="AB18" s="2">
        <v>1767585.5729799999</v>
      </c>
      <c r="AC18" s="2">
        <v>11776457312.799999</v>
      </c>
    </row>
    <row r="19" spans="1:29" x14ac:dyDescent="0.25">
      <c r="A19" s="1">
        <v>1</v>
      </c>
      <c r="B19" s="1">
        <v>17</v>
      </c>
      <c r="C19" s="1">
        <v>43</v>
      </c>
      <c r="D19" s="2">
        <v>103.42</v>
      </c>
      <c r="E19" s="1" t="s">
        <v>62</v>
      </c>
      <c r="F19" s="1" t="s">
        <v>86</v>
      </c>
      <c r="G19" s="1" t="s">
        <v>87</v>
      </c>
      <c r="H19" s="1" t="s">
        <v>32</v>
      </c>
      <c r="I19" s="1" t="s">
        <v>88</v>
      </c>
      <c r="J19" s="2">
        <v>58371.719421900001</v>
      </c>
      <c r="K19" s="2">
        <v>103416342.053</v>
      </c>
      <c r="L19" s="1" t="s">
        <v>58</v>
      </c>
      <c r="M19" s="2">
        <v>6212599.72896</v>
      </c>
      <c r="P19" s="1" t="s">
        <v>37</v>
      </c>
      <c r="U19" s="3">
        <v>41071</v>
      </c>
      <c r="V19" s="1">
        <v>0</v>
      </c>
      <c r="W19" s="2">
        <v>3202146.97</v>
      </c>
      <c r="X19" s="2">
        <v>12958.64</v>
      </c>
      <c r="Y19" s="1" t="s">
        <v>38</v>
      </c>
      <c r="Z19" s="1" t="s">
        <v>39</v>
      </c>
      <c r="AA19" s="1" t="s">
        <v>40</v>
      </c>
      <c r="AB19" s="2">
        <v>1026503.14139</v>
      </c>
      <c r="AC19" s="2">
        <v>12958484146.700001</v>
      </c>
    </row>
    <row r="20" spans="1:29" x14ac:dyDescent="0.25">
      <c r="A20" s="1">
        <v>1</v>
      </c>
      <c r="B20" s="1">
        <v>18</v>
      </c>
      <c r="C20" s="1">
        <v>47</v>
      </c>
      <c r="D20" s="2">
        <v>147.85</v>
      </c>
      <c r="E20" s="1" t="s">
        <v>62</v>
      </c>
      <c r="F20" s="1" t="s">
        <v>89</v>
      </c>
      <c r="G20" s="1" t="s">
        <v>90</v>
      </c>
      <c r="H20" s="1" t="s">
        <v>32</v>
      </c>
      <c r="I20" s="1" t="s">
        <v>33</v>
      </c>
      <c r="J20" s="2">
        <v>80679.192452400006</v>
      </c>
      <c r="K20" s="2">
        <v>147838297.04300001</v>
      </c>
      <c r="L20" s="1" t="s">
        <v>58</v>
      </c>
      <c r="M20" s="2">
        <v>6212599.72896</v>
      </c>
      <c r="P20" s="1" t="s">
        <v>37</v>
      </c>
      <c r="U20" s="3">
        <v>41071</v>
      </c>
      <c r="V20" s="1">
        <v>0</v>
      </c>
      <c r="W20" s="2">
        <v>3202146.97</v>
      </c>
      <c r="X20" s="2">
        <v>12958.64</v>
      </c>
      <c r="Y20" s="1" t="s">
        <v>38</v>
      </c>
      <c r="Z20" s="1" t="s">
        <v>39</v>
      </c>
      <c r="AA20" s="1" t="s">
        <v>40</v>
      </c>
      <c r="AB20" s="2">
        <v>1026503.14139</v>
      </c>
      <c r="AC20" s="2">
        <v>12958484146.700001</v>
      </c>
    </row>
    <row r="21" spans="1:29" x14ac:dyDescent="0.25">
      <c r="A21" s="1">
        <v>1</v>
      </c>
      <c r="B21" s="1">
        <v>19</v>
      </c>
      <c r="C21" s="1">
        <v>60</v>
      </c>
      <c r="D21" s="2">
        <v>137.05000000000001</v>
      </c>
      <c r="E21" s="1" t="s">
        <v>62</v>
      </c>
      <c r="F21" s="1" t="s">
        <v>91</v>
      </c>
      <c r="G21" s="1" t="s">
        <v>92</v>
      </c>
      <c r="H21" s="1" t="s">
        <v>32</v>
      </c>
      <c r="I21" s="1" t="s">
        <v>33</v>
      </c>
      <c r="J21" s="2">
        <v>91948.256196400005</v>
      </c>
      <c r="K21" s="2">
        <v>137042768.553</v>
      </c>
      <c r="L21" s="1" t="s">
        <v>58</v>
      </c>
      <c r="M21" s="2">
        <v>6212599.72896</v>
      </c>
      <c r="P21" s="1" t="s">
        <v>37</v>
      </c>
      <c r="U21" s="3">
        <v>41071</v>
      </c>
      <c r="V21" s="1">
        <v>0</v>
      </c>
      <c r="W21" s="2">
        <v>3202146.97</v>
      </c>
      <c r="X21" s="2">
        <v>12958.64</v>
      </c>
      <c r="Y21" s="1" t="s">
        <v>38</v>
      </c>
      <c r="Z21" s="1" t="s">
        <v>39</v>
      </c>
      <c r="AA21" s="1" t="s">
        <v>40</v>
      </c>
      <c r="AB21" s="2">
        <v>1026503.14139</v>
      </c>
      <c r="AC21" s="2">
        <v>12958484146.700001</v>
      </c>
    </row>
    <row r="22" spans="1:29" x14ac:dyDescent="0.25">
      <c r="A22" s="1">
        <v>1</v>
      </c>
      <c r="B22" s="1">
        <v>20</v>
      </c>
      <c r="C22" s="1">
        <v>115</v>
      </c>
      <c r="D22" s="2">
        <v>129.79</v>
      </c>
      <c r="E22" s="1" t="s">
        <v>93</v>
      </c>
      <c r="F22" s="1" t="s">
        <v>94</v>
      </c>
      <c r="G22" s="1" t="s">
        <v>95</v>
      </c>
      <c r="H22" s="1" t="s">
        <v>32</v>
      </c>
      <c r="I22" s="1" t="s">
        <v>43</v>
      </c>
      <c r="J22" s="2">
        <v>82823.289160200002</v>
      </c>
      <c r="K22" s="2">
        <v>129783732.727</v>
      </c>
      <c r="L22" s="1" t="s">
        <v>58</v>
      </c>
      <c r="M22" s="2">
        <v>6212599.72896</v>
      </c>
      <c r="P22" s="1" t="s">
        <v>44</v>
      </c>
      <c r="U22" s="3">
        <v>42553</v>
      </c>
      <c r="V22" s="1">
        <v>0</v>
      </c>
      <c r="W22" s="2">
        <v>2909905.89</v>
      </c>
      <c r="X22" s="2">
        <v>11775.98</v>
      </c>
      <c r="Y22" s="1" t="s">
        <v>45</v>
      </c>
      <c r="Z22" s="1" t="s">
        <v>46</v>
      </c>
      <c r="AA22" s="1" t="s">
        <v>47</v>
      </c>
      <c r="AB22" s="2">
        <v>1767585.5729799999</v>
      </c>
      <c r="AC22" s="2">
        <v>11776457312.799999</v>
      </c>
    </row>
    <row r="23" spans="1:29" x14ac:dyDescent="0.25">
      <c r="A23" s="1">
        <v>1</v>
      </c>
      <c r="B23" s="1">
        <v>21</v>
      </c>
      <c r="C23" s="1">
        <v>147</v>
      </c>
      <c r="D23" s="2">
        <v>45.19</v>
      </c>
      <c r="E23" s="1" t="s">
        <v>62</v>
      </c>
      <c r="F23" s="1" t="s">
        <v>96</v>
      </c>
      <c r="G23" s="1" t="s">
        <v>97</v>
      </c>
      <c r="H23" s="1" t="s">
        <v>32</v>
      </c>
      <c r="I23" s="1" t="s">
        <v>33</v>
      </c>
      <c r="J23" s="2">
        <v>41741.621070300003</v>
      </c>
      <c r="K23" s="2">
        <v>45189702.910800003</v>
      </c>
      <c r="L23" s="1" t="s">
        <v>58</v>
      </c>
      <c r="M23" s="2">
        <v>6212599.72896</v>
      </c>
      <c r="P23" s="1" t="s">
        <v>37</v>
      </c>
      <c r="U23" s="3">
        <v>41071</v>
      </c>
      <c r="V23" s="1">
        <v>0</v>
      </c>
      <c r="W23" s="2">
        <v>3202146.97</v>
      </c>
      <c r="X23" s="2">
        <v>12958.64</v>
      </c>
      <c r="Y23" s="1" t="s">
        <v>38</v>
      </c>
      <c r="Z23" s="1" t="s">
        <v>39</v>
      </c>
      <c r="AA23" s="1" t="s">
        <v>40</v>
      </c>
      <c r="AB23" s="2">
        <v>1026503.14139</v>
      </c>
      <c r="AC23" s="2">
        <v>12958484146.700001</v>
      </c>
    </row>
    <row r="24" spans="1:29" x14ac:dyDescent="0.25">
      <c r="A24" s="1">
        <v>1</v>
      </c>
      <c r="B24" s="1">
        <v>22</v>
      </c>
      <c r="C24" s="1">
        <v>148</v>
      </c>
      <c r="D24" s="2">
        <v>95.29</v>
      </c>
      <c r="E24" s="1" t="s">
        <v>62</v>
      </c>
      <c r="F24" s="1" t="s">
        <v>98</v>
      </c>
      <c r="G24" s="1" t="s">
        <v>99</v>
      </c>
      <c r="H24" s="1" t="s">
        <v>32</v>
      </c>
      <c r="I24" s="1" t="s">
        <v>33</v>
      </c>
      <c r="J24" s="2">
        <v>68622.723247600006</v>
      </c>
      <c r="K24" s="2">
        <v>95291847.6708</v>
      </c>
      <c r="L24" s="1" t="s">
        <v>58</v>
      </c>
      <c r="M24" s="2">
        <v>6212599.72896</v>
      </c>
      <c r="P24" s="1" t="s">
        <v>37</v>
      </c>
      <c r="U24" s="3">
        <v>41071</v>
      </c>
      <c r="V24" s="1">
        <v>0</v>
      </c>
      <c r="W24" s="2">
        <v>3202146.97</v>
      </c>
      <c r="X24" s="2">
        <v>12958.64</v>
      </c>
      <c r="Y24" s="1" t="s">
        <v>38</v>
      </c>
      <c r="Z24" s="1" t="s">
        <v>39</v>
      </c>
      <c r="AA24" s="1" t="s">
        <v>40</v>
      </c>
      <c r="AB24" s="2">
        <v>1026503.14139</v>
      </c>
      <c r="AC24" s="2">
        <v>12958484146.700001</v>
      </c>
    </row>
    <row r="25" spans="1:29" x14ac:dyDescent="0.25">
      <c r="A25" s="1">
        <v>1</v>
      </c>
      <c r="B25" s="1">
        <v>23</v>
      </c>
      <c r="C25" s="1">
        <v>208</v>
      </c>
      <c r="D25" s="2">
        <v>70.11</v>
      </c>
      <c r="E25" s="1" t="s">
        <v>29</v>
      </c>
      <c r="F25" s="1" t="s">
        <v>100</v>
      </c>
      <c r="G25" s="1" t="s">
        <v>101</v>
      </c>
      <c r="H25" s="1" t="s">
        <v>32</v>
      </c>
      <c r="I25" s="1" t="s">
        <v>43</v>
      </c>
      <c r="J25" s="2">
        <v>49093.291182599998</v>
      </c>
      <c r="K25" s="2">
        <v>70111579.366999999</v>
      </c>
      <c r="L25" s="1" t="s">
        <v>34</v>
      </c>
      <c r="M25" s="2">
        <v>4075494.1644199998</v>
      </c>
      <c r="P25" s="1" t="s">
        <v>44</v>
      </c>
      <c r="U25" s="3">
        <v>42553</v>
      </c>
      <c r="V25" s="1">
        <v>0</v>
      </c>
      <c r="W25" s="2">
        <v>2909905.89</v>
      </c>
      <c r="X25" s="2">
        <v>11775.98</v>
      </c>
      <c r="Y25" s="1" t="s">
        <v>45</v>
      </c>
      <c r="Z25" s="1" t="s">
        <v>46</v>
      </c>
      <c r="AA25" s="1" t="s">
        <v>47</v>
      </c>
      <c r="AB25" s="2">
        <v>1767585.5729799999</v>
      </c>
      <c r="AC25" s="2">
        <v>11776457312.799999</v>
      </c>
    </row>
    <row r="26" spans="1:29" x14ac:dyDescent="0.25">
      <c r="A26" s="1">
        <v>1</v>
      </c>
      <c r="B26" s="1">
        <v>24</v>
      </c>
      <c r="C26" s="1">
        <v>233</v>
      </c>
      <c r="D26" s="2">
        <v>150.22999999999999</v>
      </c>
      <c r="E26" s="1" t="s">
        <v>62</v>
      </c>
      <c r="F26" s="1" t="s">
        <v>102</v>
      </c>
      <c r="G26" s="1" t="s">
        <v>103</v>
      </c>
      <c r="H26" s="1" t="s">
        <v>32</v>
      </c>
      <c r="I26" s="1" t="s">
        <v>104</v>
      </c>
      <c r="J26" s="2">
        <v>93405.573467299997</v>
      </c>
      <c r="K26" s="2">
        <v>150218944.961</v>
      </c>
      <c r="L26" s="1" t="s">
        <v>58</v>
      </c>
      <c r="M26" s="2">
        <v>6212599.72896</v>
      </c>
      <c r="P26" s="1" t="s">
        <v>37</v>
      </c>
      <c r="U26" s="3">
        <v>41071</v>
      </c>
      <c r="V26" s="1">
        <v>0</v>
      </c>
      <c r="W26" s="2">
        <v>3202146.97</v>
      </c>
      <c r="X26" s="2">
        <v>12958.64</v>
      </c>
      <c r="Y26" s="1" t="s">
        <v>38</v>
      </c>
      <c r="Z26" s="1" t="s">
        <v>39</v>
      </c>
      <c r="AA26" s="1" t="s">
        <v>40</v>
      </c>
      <c r="AB26" s="2">
        <v>1026503.14139</v>
      </c>
      <c r="AC26" s="2">
        <v>12958484146.700001</v>
      </c>
    </row>
    <row r="27" spans="1:29" x14ac:dyDescent="0.25">
      <c r="A27" s="1">
        <v>1</v>
      </c>
      <c r="B27" s="1">
        <v>25</v>
      </c>
      <c r="C27" s="1">
        <v>240</v>
      </c>
      <c r="D27" s="2">
        <v>107.16</v>
      </c>
      <c r="E27" s="1" t="s">
        <v>83</v>
      </c>
      <c r="F27" s="1" t="s">
        <v>105</v>
      </c>
      <c r="G27" s="1" t="s">
        <v>106</v>
      </c>
      <c r="H27" s="1" t="s">
        <v>32</v>
      </c>
      <c r="I27" s="1" t="s">
        <v>43</v>
      </c>
      <c r="J27" s="2">
        <v>67164.674301899999</v>
      </c>
      <c r="K27" s="2">
        <v>107151238.272</v>
      </c>
      <c r="L27" s="1" t="s">
        <v>58</v>
      </c>
      <c r="M27" s="2">
        <v>6212599.72896</v>
      </c>
      <c r="P27" s="1" t="s">
        <v>44</v>
      </c>
      <c r="U27" s="3">
        <v>42553</v>
      </c>
      <c r="V27" s="1">
        <v>0</v>
      </c>
      <c r="W27" s="2">
        <v>2909905.89</v>
      </c>
      <c r="X27" s="2">
        <v>11775.98</v>
      </c>
      <c r="Y27" s="1" t="s">
        <v>45</v>
      </c>
      <c r="Z27" s="1" t="s">
        <v>46</v>
      </c>
      <c r="AA27" s="1" t="s">
        <v>47</v>
      </c>
      <c r="AB27" s="2">
        <v>1767585.5729799999</v>
      </c>
      <c r="AC27" s="2">
        <v>11776457312.799999</v>
      </c>
    </row>
    <row r="28" spans="1:29" x14ac:dyDescent="0.25">
      <c r="A28" s="1">
        <v>1</v>
      </c>
      <c r="B28" s="1">
        <v>26</v>
      </c>
      <c r="C28" s="1">
        <v>245</v>
      </c>
      <c r="D28" s="2">
        <v>156.34</v>
      </c>
      <c r="E28" s="1" t="s">
        <v>55</v>
      </c>
      <c r="F28" s="1" t="s">
        <v>107</v>
      </c>
      <c r="G28" s="1" t="s">
        <v>108</v>
      </c>
      <c r="H28" s="1" t="s">
        <v>32</v>
      </c>
      <c r="I28" s="1" t="s">
        <v>33</v>
      </c>
      <c r="J28" s="2">
        <v>88926.189905499996</v>
      </c>
      <c r="K28" s="2">
        <v>156346047.18000001</v>
      </c>
      <c r="L28" s="1" t="s">
        <v>58</v>
      </c>
      <c r="M28" s="2">
        <v>6212599.72896</v>
      </c>
      <c r="P28" s="1" t="s">
        <v>37</v>
      </c>
      <c r="U28" s="3">
        <v>41071</v>
      </c>
      <c r="V28" s="1">
        <v>0</v>
      </c>
      <c r="W28" s="2">
        <v>3202146.97</v>
      </c>
      <c r="X28" s="2">
        <v>12958.64</v>
      </c>
      <c r="Y28" s="1" t="s">
        <v>38</v>
      </c>
      <c r="Z28" s="1" t="s">
        <v>39</v>
      </c>
      <c r="AA28" s="1" t="s">
        <v>40</v>
      </c>
      <c r="AB28" s="2">
        <v>1026503.14139</v>
      </c>
      <c r="AC28" s="2">
        <v>12958484146.700001</v>
      </c>
    </row>
    <row r="29" spans="1:29" x14ac:dyDescent="0.25">
      <c r="A29" s="1">
        <v>1</v>
      </c>
      <c r="B29" s="1">
        <v>27</v>
      </c>
      <c r="C29" s="1">
        <v>252</v>
      </c>
      <c r="D29" s="2">
        <v>101.81</v>
      </c>
      <c r="E29" s="1" t="s">
        <v>62</v>
      </c>
      <c r="F29" s="1" t="s">
        <v>109</v>
      </c>
      <c r="G29" s="1" t="s">
        <v>110</v>
      </c>
      <c r="H29" s="1" t="s">
        <v>32</v>
      </c>
      <c r="I29" s="1" t="s">
        <v>33</v>
      </c>
      <c r="J29" s="2">
        <v>62389.462948599998</v>
      </c>
      <c r="K29" s="2">
        <v>101801539.723</v>
      </c>
      <c r="L29" s="1" t="s">
        <v>58</v>
      </c>
      <c r="M29" s="2">
        <v>6212599.72896</v>
      </c>
      <c r="P29" s="1" t="s">
        <v>59</v>
      </c>
      <c r="U29" s="3">
        <v>41071</v>
      </c>
      <c r="V29" s="1">
        <v>0</v>
      </c>
      <c r="W29" s="2">
        <v>3203414.96</v>
      </c>
      <c r="X29" s="2">
        <v>12963.77</v>
      </c>
      <c r="Y29" s="1" t="s">
        <v>55</v>
      </c>
      <c r="Z29" s="1" t="s">
        <v>60</v>
      </c>
      <c r="AA29" s="1" t="s">
        <v>61</v>
      </c>
      <c r="AB29" s="2">
        <v>1011740.47622</v>
      </c>
      <c r="AC29" s="2">
        <v>12967342837.9</v>
      </c>
    </row>
    <row r="30" spans="1:29" x14ac:dyDescent="0.25">
      <c r="A30" s="1">
        <v>1</v>
      </c>
      <c r="B30" s="1">
        <v>28</v>
      </c>
      <c r="C30" s="1">
        <v>304</v>
      </c>
      <c r="D30" s="2">
        <v>70.180000000000007</v>
      </c>
      <c r="E30" s="1" t="s">
        <v>83</v>
      </c>
      <c r="F30" s="1" t="s">
        <v>111</v>
      </c>
      <c r="G30" s="1" t="s">
        <v>112</v>
      </c>
      <c r="H30" s="1" t="s">
        <v>32</v>
      </c>
      <c r="I30" s="1" t="s">
        <v>43</v>
      </c>
      <c r="J30" s="2">
        <v>65191.989415600001</v>
      </c>
      <c r="K30" s="2">
        <v>70171782.943000004</v>
      </c>
      <c r="L30" s="1" t="s">
        <v>34</v>
      </c>
      <c r="M30" s="2">
        <v>4075494.1644199998</v>
      </c>
      <c r="P30" s="1" t="s">
        <v>44</v>
      </c>
      <c r="U30" s="3">
        <v>42553</v>
      </c>
      <c r="V30" s="1">
        <v>0</v>
      </c>
      <c r="W30" s="2">
        <v>2909905.89</v>
      </c>
      <c r="X30" s="2">
        <v>11775.98</v>
      </c>
      <c r="Y30" s="1" t="s">
        <v>45</v>
      </c>
      <c r="Z30" s="1" t="s">
        <v>46</v>
      </c>
      <c r="AA30" s="1" t="s">
        <v>47</v>
      </c>
      <c r="AB30" s="2">
        <v>1767585.5729799999</v>
      </c>
      <c r="AC30" s="2">
        <v>11776457312.799999</v>
      </c>
    </row>
    <row r="31" spans="1:29" x14ac:dyDescent="0.25">
      <c r="A31" s="1">
        <v>1</v>
      </c>
      <c r="B31" s="1">
        <v>29</v>
      </c>
      <c r="C31" s="1">
        <v>317</v>
      </c>
      <c r="D31" s="2">
        <v>48.96</v>
      </c>
      <c r="E31" s="1" t="s">
        <v>83</v>
      </c>
      <c r="F31" s="1" t="s">
        <v>113</v>
      </c>
      <c r="G31" s="1" t="s">
        <v>114</v>
      </c>
      <c r="H31" s="1" t="s">
        <v>32</v>
      </c>
      <c r="I31" s="1" t="s">
        <v>43</v>
      </c>
      <c r="J31" s="2">
        <v>42191.161306200003</v>
      </c>
      <c r="K31" s="2">
        <v>48960187.586900003</v>
      </c>
      <c r="L31" s="1" t="s">
        <v>58</v>
      </c>
      <c r="M31" s="2">
        <v>6212599.72896</v>
      </c>
      <c r="P31" s="1" t="s">
        <v>44</v>
      </c>
      <c r="U31" s="3">
        <v>42553</v>
      </c>
      <c r="V31" s="1">
        <v>0</v>
      </c>
      <c r="W31" s="2">
        <v>2909905.89</v>
      </c>
      <c r="X31" s="2">
        <v>11775.98</v>
      </c>
      <c r="Y31" s="1" t="s">
        <v>45</v>
      </c>
      <c r="Z31" s="1" t="s">
        <v>46</v>
      </c>
      <c r="AA31" s="1" t="s">
        <v>47</v>
      </c>
      <c r="AB31" s="2">
        <v>1767585.5729799999</v>
      </c>
      <c r="AC31" s="2">
        <v>11776457312.799999</v>
      </c>
    </row>
    <row r="32" spans="1:29" x14ac:dyDescent="0.25">
      <c r="A32" s="1">
        <v>1</v>
      </c>
      <c r="B32" s="1">
        <v>30</v>
      </c>
      <c r="C32" s="1">
        <v>317</v>
      </c>
      <c r="D32" s="2">
        <v>48.96</v>
      </c>
      <c r="E32" s="1" t="s">
        <v>83</v>
      </c>
      <c r="F32" s="1" t="s">
        <v>113</v>
      </c>
      <c r="G32" s="1" t="s">
        <v>114</v>
      </c>
      <c r="H32" s="1" t="s">
        <v>32</v>
      </c>
      <c r="I32" s="1" t="s">
        <v>43</v>
      </c>
      <c r="J32" s="2">
        <v>42191.161306200003</v>
      </c>
      <c r="K32" s="2">
        <v>48960187.586900003</v>
      </c>
      <c r="L32" s="1" t="s">
        <v>34</v>
      </c>
      <c r="M32" s="2">
        <v>4075494.1644199998</v>
      </c>
      <c r="P32" s="1" t="s">
        <v>44</v>
      </c>
      <c r="U32" s="3">
        <v>42553</v>
      </c>
      <c r="V32" s="1">
        <v>0</v>
      </c>
      <c r="W32" s="2">
        <v>2909905.89</v>
      </c>
      <c r="X32" s="2">
        <v>11775.98</v>
      </c>
      <c r="Y32" s="1" t="s">
        <v>45</v>
      </c>
      <c r="Z32" s="1" t="s">
        <v>46</v>
      </c>
      <c r="AA32" s="1" t="s">
        <v>47</v>
      </c>
      <c r="AB32" s="2">
        <v>1767585.5729799999</v>
      </c>
      <c r="AC32" s="2">
        <v>11776457312.799999</v>
      </c>
    </row>
    <row r="33" spans="1:29" x14ac:dyDescent="0.25">
      <c r="A33" s="1">
        <v>1</v>
      </c>
      <c r="B33" s="1">
        <v>31</v>
      </c>
      <c r="C33" s="1">
        <v>329</v>
      </c>
      <c r="D33" s="2">
        <v>100.68</v>
      </c>
      <c r="E33" s="1" t="s">
        <v>29</v>
      </c>
      <c r="F33" s="1" t="s">
        <v>115</v>
      </c>
      <c r="G33" s="1" t="s">
        <v>116</v>
      </c>
      <c r="H33" s="1" t="s">
        <v>32</v>
      </c>
      <c r="I33" s="1" t="s">
        <v>33</v>
      </c>
      <c r="J33" s="2">
        <v>61665.277586900003</v>
      </c>
      <c r="K33" s="2">
        <v>100677785.263</v>
      </c>
      <c r="L33" s="1" t="s">
        <v>34</v>
      </c>
      <c r="M33" s="2">
        <v>4075494.1644199998</v>
      </c>
      <c r="P33" s="1" t="s">
        <v>37</v>
      </c>
      <c r="U33" s="3">
        <v>41071</v>
      </c>
      <c r="V33" s="1">
        <v>0</v>
      </c>
      <c r="W33" s="2">
        <v>3202146.97</v>
      </c>
      <c r="X33" s="2">
        <v>12958.64</v>
      </c>
      <c r="Y33" s="1" t="s">
        <v>38</v>
      </c>
      <c r="Z33" s="1" t="s">
        <v>39</v>
      </c>
      <c r="AA33" s="1" t="s">
        <v>40</v>
      </c>
      <c r="AB33" s="2">
        <v>1026503.14139</v>
      </c>
      <c r="AC33" s="2">
        <v>12958484146.700001</v>
      </c>
    </row>
    <row r="34" spans="1:29" x14ac:dyDescent="0.25">
      <c r="A34" s="1">
        <v>1</v>
      </c>
      <c r="B34" s="1">
        <v>32</v>
      </c>
      <c r="C34" s="1">
        <v>369</v>
      </c>
      <c r="D34" s="2">
        <v>155.88999999999999</v>
      </c>
      <c r="E34" s="1" t="s">
        <v>62</v>
      </c>
      <c r="F34" s="1" t="s">
        <v>117</v>
      </c>
      <c r="G34" s="1" t="s">
        <v>118</v>
      </c>
      <c r="H34" s="1" t="s">
        <v>32</v>
      </c>
      <c r="I34" s="1" t="s">
        <v>43</v>
      </c>
      <c r="J34" s="2">
        <v>72294.577550899994</v>
      </c>
      <c r="K34" s="2">
        <v>155885427.63999999</v>
      </c>
      <c r="L34" s="1" t="s">
        <v>58</v>
      </c>
      <c r="M34" s="2">
        <v>6212599.72896</v>
      </c>
      <c r="P34" s="1" t="s">
        <v>119</v>
      </c>
      <c r="U34" s="3">
        <v>42577</v>
      </c>
      <c r="V34" s="1">
        <v>0</v>
      </c>
      <c r="W34" s="2">
        <v>4558182.21</v>
      </c>
      <c r="X34" s="2">
        <v>18446.330000000002</v>
      </c>
      <c r="Y34" s="1" t="s">
        <v>120</v>
      </c>
      <c r="Z34" s="1" t="s">
        <v>121</v>
      </c>
      <c r="AA34" s="1" t="s">
        <v>122</v>
      </c>
      <c r="AB34" s="2">
        <v>1210344.5806100001</v>
      </c>
      <c r="AC34" s="2">
        <v>18446375448.299999</v>
      </c>
    </row>
    <row r="35" spans="1:29" x14ac:dyDescent="0.25">
      <c r="A35" s="1">
        <v>1</v>
      </c>
      <c r="B35" s="1">
        <v>33</v>
      </c>
      <c r="C35" s="1">
        <v>426</v>
      </c>
      <c r="D35" s="2">
        <v>64.94</v>
      </c>
      <c r="E35" s="1" t="s">
        <v>62</v>
      </c>
      <c r="F35" s="1" t="s">
        <v>123</v>
      </c>
      <c r="G35" s="1" t="s">
        <v>124</v>
      </c>
      <c r="H35" s="1" t="s">
        <v>32</v>
      </c>
      <c r="I35" s="1" t="s">
        <v>43</v>
      </c>
      <c r="J35" s="2">
        <v>47353.233040799998</v>
      </c>
      <c r="K35" s="2">
        <v>64935619.212700002</v>
      </c>
      <c r="L35" s="1" t="s">
        <v>58</v>
      </c>
      <c r="M35" s="2">
        <v>6212599.72896</v>
      </c>
      <c r="P35" s="1" t="s">
        <v>37</v>
      </c>
      <c r="U35" s="3">
        <v>41071</v>
      </c>
      <c r="V35" s="1">
        <v>0</v>
      </c>
      <c r="W35" s="2">
        <v>3202146.97</v>
      </c>
      <c r="X35" s="2">
        <v>12958.64</v>
      </c>
      <c r="Y35" s="1" t="s">
        <v>38</v>
      </c>
      <c r="Z35" s="1" t="s">
        <v>39</v>
      </c>
      <c r="AA35" s="1" t="s">
        <v>40</v>
      </c>
      <c r="AB35" s="2">
        <v>1026503.14139</v>
      </c>
      <c r="AC35" s="2">
        <v>12958484146.700001</v>
      </c>
    </row>
    <row r="36" spans="1:29" x14ac:dyDescent="0.25">
      <c r="A36" s="1">
        <v>1</v>
      </c>
      <c r="B36" s="1">
        <v>34</v>
      </c>
      <c r="C36" s="1">
        <v>482</v>
      </c>
      <c r="D36" s="2">
        <v>78.66</v>
      </c>
      <c r="E36" s="1" t="s">
        <v>125</v>
      </c>
      <c r="F36" s="1" t="s">
        <v>126</v>
      </c>
      <c r="G36" s="1" t="s">
        <v>127</v>
      </c>
      <c r="H36" s="1" t="s">
        <v>32</v>
      </c>
      <c r="I36" s="1" t="s">
        <v>43</v>
      </c>
      <c r="J36" s="2">
        <v>73063.792414099997</v>
      </c>
      <c r="K36" s="2">
        <v>78653185.880999997</v>
      </c>
      <c r="L36" s="1" t="s">
        <v>34</v>
      </c>
      <c r="M36" s="2">
        <v>4075494.1644199998</v>
      </c>
      <c r="P36" s="1" t="s">
        <v>44</v>
      </c>
      <c r="U36" s="3">
        <v>42553</v>
      </c>
      <c r="V36" s="1">
        <v>0</v>
      </c>
      <c r="W36" s="2">
        <v>2909905.89</v>
      </c>
      <c r="X36" s="2">
        <v>11775.98</v>
      </c>
      <c r="Y36" s="1" t="s">
        <v>45</v>
      </c>
      <c r="Z36" s="1" t="s">
        <v>46</v>
      </c>
      <c r="AA36" s="1" t="s">
        <v>47</v>
      </c>
      <c r="AB36" s="2">
        <v>1767585.5729799999</v>
      </c>
      <c r="AC36" s="2">
        <v>11776457312.799999</v>
      </c>
    </row>
    <row r="37" spans="1:29" x14ac:dyDescent="0.25">
      <c r="A37" s="1">
        <v>1</v>
      </c>
      <c r="B37" s="1">
        <v>35</v>
      </c>
      <c r="C37" s="1">
        <v>483</v>
      </c>
      <c r="D37" s="2">
        <v>98.47</v>
      </c>
      <c r="E37" s="1" t="s">
        <v>93</v>
      </c>
      <c r="F37" s="1" t="s">
        <v>128</v>
      </c>
      <c r="G37" s="1" t="s">
        <v>129</v>
      </c>
      <c r="H37" s="1" t="s">
        <v>32</v>
      </c>
      <c r="I37" s="1" t="s">
        <v>43</v>
      </c>
      <c r="J37" s="2">
        <v>58250.126061499999</v>
      </c>
      <c r="K37" s="2">
        <v>98463210.792300001</v>
      </c>
      <c r="L37" s="1" t="s">
        <v>34</v>
      </c>
      <c r="M37" s="2">
        <v>4075494.1644199998</v>
      </c>
      <c r="P37" s="1" t="s">
        <v>44</v>
      </c>
      <c r="U37" s="3">
        <v>42553</v>
      </c>
      <c r="V37" s="1">
        <v>0</v>
      </c>
      <c r="W37" s="2">
        <v>2909905.89</v>
      </c>
      <c r="X37" s="2">
        <v>11775.98</v>
      </c>
      <c r="Y37" s="1" t="s">
        <v>45</v>
      </c>
      <c r="Z37" s="1" t="s">
        <v>46</v>
      </c>
      <c r="AA37" s="1" t="s">
        <v>47</v>
      </c>
      <c r="AB37" s="2">
        <v>1767585.5729799999</v>
      </c>
      <c r="AC37" s="2">
        <v>11776457312.799999</v>
      </c>
    </row>
    <row r="38" spans="1:29" x14ac:dyDescent="0.25">
      <c r="A38" s="1">
        <v>1</v>
      </c>
      <c r="B38" s="1">
        <v>36</v>
      </c>
      <c r="C38" s="1">
        <v>484</v>
      </c>
      <c r="D38" s="2">
        <v>137.84</v>
      </c>
      <c r="E38" s="1" t="s">
        <v>130</v>
      </c>
      <c r="F38" s="1" t="s">
        <v>131</v>
      </c>
      <c r="G38" s="1" t="s">
        <v>132</v>
      </c>
      <c r="H38" s="1" t="s">
        <v>32</v>
      </c>
      <c r="I38" s="1" t="s">
        <v>43</v>
      </c>
      <c r="J38" s="2">
        <v>73321.969031100001</v>
      </c>
      <c r="K38" s="2">
        <v>137830786.572</v>
      </c>
      <c r="L38" s="1" t="s">
        <v>58</v>
      </c>
      <c r="M38" s="2">
        <v>6212599.72896</v>
      </c>
      <c r="P38" s="1" t="s">
        <v>44</v>
      </c>
      <c r="U38" s="3">
        <v>42553</v>
      </c>
      <c r="V38" s="1">
        <v>0</v>
      </c>
      <c r="W38" s="2">
        <v>2909905.89</v>
      </c>
      <c r="X38" s="2">
        <v>11775.98</v>
      </c>
      <c r="Y38" s="1" t="s">
        <v>45</v>
      </c>
      <c r="Z38" s="1" t="s">
        <v>46</v>
      </c>
      <c r="AA38" s="1" t="s">
        <v>47</v>
      </c>
      <c r="AB38" s="2">
        <v>1767585.5729799999</v>
      </c>
      <c r="AC38" s="2">
        <v>11776457312.799999</v>
      </c>
    </row>
    <row r="39" spans="1:29" x14ac:dyDescent="0.25">
      <c r="A39" s="1">
        <v>1</v>
      </c>
      <c r="B39" s="1">
        <v>37</v>
      </c>
      <c r="C39" s="1">
        <v>485</v>
      </c>
      <c r="D39" s="2">
        <v>114.39</v>
      </c>
      <c r="E39" s="1" t="s">
        <v>130</v>
      </c>
      <c r="F39" s="1" t="s">
        <v>133</v>
      </c>
      <c r="G39" s="1" t="s">
        <v>134</v>
      </c>
      <c r="H39" s="1" t="s">
        <v>32</v>
      </c>
      <c r="I39" s="1" t="s">
        <v>43</v>
      </c>
      <c r="J39" s="2">
        <v>76688.461552299996</v>
      </c>
      <c r="K39" s="2">
        <v>114381357.501</v>
      </c>
      <c r="L39" s="1" t="s">
        <v>58</v>
      </c>
      <c r="M39" s="2">
        <v>6212599.72896</v>
      </c>
      <c r="P39" s="1" t="s">
        <v>44</v>
      </c>
      <c r="U39" s="3">
        <v>42553</v>
      </c>
      <c r="V39" s="1">
        <v>0</v>
      </c>
      <c r="W39" s="2">
        <v>2909905.89</v>
      </c>
      <c r="X39" s="2">
        <v>11775.98</v>
      </c>
      <c r="Y39" s="1" t="s">
        <v>45</v>
      </c>
      <c r="Z39" s="1" t="s">
        <v>46</v>
      </c>
      <c r="AA39" s="1" t="s">
        <v>47</v>
      </c>
      <c r="AB39" s="2">
        <v>1767585.5729799999</v>
      </c>
      <c r="AC39" s="2">
        <v>11776457312.799999</v>
      </c>
    </row>
    <row r="40" spans="1:29" x14ac:dyDescent="0.25">
      <c r="A40" s="1">
        <v>1</v>
      </c>
      <c r="B40" s="1">
        <v>38</v>
      </c>
      <c r="C40" s="1">
        <v>495</v>
      </c>
      <c r="D40" s="2">
        <v>96.8</v>
      </c>
      <c r="E40" s="1" t="s">
        <v>83</v>
      </c>
      <c r="F40" s="1" t="s">
        <v>135</v>
      </c>
      <c r="G40" s="1" t="s">
        <v>136</v>
      </c>
      <c r="H40" s="1" t="s">
        <v>32</v>
      </c>
      <c r="I40" s="1" t="s">
        <v>43</v>
      </c>
      <c r="J40" s="2">
        <v>67554.739103</v>
      </c>
      <c r="K40" s="2">
        <v>96793881.954799995</v>
      </c>
      <c r="L40" s="1" t="s">
        <v>58</v>
      </c>
      <c r="M40" s="2">
        <v>6212599.72896</v>
      </c>
      <c r="P40" s="1" t="s">
        <v>37</v>
      </c>
      <c r="U40" s="3">
        <v>41071</v>
      </c>
      <c r="V40" s="1">
        <v>0</v>
      </c>
      <c r="W40" s="2">
        <v>3202146.97</v>
      </c>
      <c r="X40" s="2">
        <v>12958.64</v>
      </c>
      <c r="Y40" s="1" t="s">
        <v>38</v>
      </c>
      <c r="Z40" s="1" t="s">
        <v>39</v>
      </c>
      <c r="AA40" s="1" t="s">
        <v>40</v>
      </c>
      <c r="AB40" s="2">
        <v>1026503.14139</v>
      </c>
      <c r="AC40" s="2">
        <v>12958484146.700001</v>
      </c>
    </row>
    <row r="41" spans="1:29" x14ac:dyDescent="0.25">
      <c r="A41" s="1">
        <v>1</v>
      </c>
      <c r="B41" s="1">
        <v>39</v>
      </c>
      <c r="C41" s="1">
        <v>495</v>
      </c>
      <c r="D41" s="2">
        <v>96.8</v>
      </c>
      <c r="E41" s="1" t="s">
        <v>83</v>
      </c>
      <c r="F41" s="1" t="s">
        <v>135</v>
      </c>
      <c r="G41" s="1" t="s">
        <v>136</v>
      </c>
      <c r="H41" s="1" t="s">
        <v>32</v>
      </c>
      <c r="I41" s="1" t="s">
        <v>43</v>
      </c>
      <c r="J41" s="2">
        <v>67554.739103</v>
      </c>
      <c r="K41" s="2">
        <v>96793881.954799995</v>
      </c>
      <c r="L41" s="1" t="s">
        <v>34</v>
      </c>
      <c r="M41" s="2">
        <v>4075494.1644199998</v>
      </c>
      <c r="P41" s="1" t="s">
        <v>37</v>
      </c>
      <c r="U41" s="3">
        <v>41071</v>
      </c>
      <c r="V41" s="1">
        <v>0</v>
      </c>
      <c r="W41" s="2">
        <v>3202146.97</v>
      </c>
      <c r="X41" s="2">
        <v>12958.64</v>
      </c>
      <c r="Y41" s="1" t="s">
        <v>38</v>
      </c>
      <c r="Z41" s="1" t="s">
        <v>39</v>
      </c>
      <c r="AA41" s="1" t="s">
        <v>40</v>
      </c>
      <c r="AB41" s="2">
        <v>1026503.14139</v>
      </c>
      <c r="AC41" s="2">
        <v>12958484146.700001</v>
      </c>
    </row>
    <row r="42" spans="1:29" x14ac:dyDescent="0.25">
      <c r="A42" s="1">
        <v>1</v>
      </c>
      <c r="B42" s="1">
        <v>40</v>
      </c>
      <c r="C42" s="1">
        <v>505</v>
      </c>
      <c r="D42" s="2">
        <v>139.11000000000001</v>
      </c>
      <c r="E42" s="1" t="s">
        <v>29</v>
      </c>
      <c r="F42" s="1" t="s">
        <v>137</v>
      </c>
      <c r="G42" s="1" t="s">
        <v>138</v>
      </c>
      <c r="H42" s="1" t="s">
        <v>32</v>
      </c>
      <c r="I42" s="1" t="s">
        <v>33</v>
      </c>
      <c r="J42" s="2">
        <v>90237.544894000006</v>
      </c>
      <c r="K42" s="2">
        <v>139102248.15599999</v>
      </c>
      <c r="L42" s="1" t="s">
        <v>34</v>
      </c>
      <c r="M42" s="2">
        <v>4075494.1644199998</v>
      </c>
      <c r="P42" s="1" t="s">
        <v>37</v>
      </c>
      <c r="U42" s="3">
        <v>41071</v>
      </c>
      <c r="V42" s="1">
        <v>0</v>
      </c>
      <c r="W42" s="2">
        <v>3202146.97</v>
      </c>
      <c r="X42" s="2">
        <v>12958.64</v>
      </c>
      <c r="Y42" s="1" t="s">
        <v>38</v>
      </c>
      <c r="Z42" s="1" t="s">
        <v>39</v>
      </c>
      <c r="AA42" s="1" t="s">
        <v>40</v>
      </c>
      <c r="AB42" s="2">
        <v>1026503.14139</v>
      </c>
      <c r="AC42" s="2">
        <v>12958484146.700001</v>
      </c>
    </row>
    <row r="43" spans="1:29" x14ac:dyDescent="0.25">
      <c r="A43" s="1">
        <v>1</v>
      </c>
      <c r="B43" s="1">
        <v>41</v>
      </c>
      <c r="C43" s="1">
        <v>506</v>
      </c>
      <c r="D43" s="2">
        <v>51.26</v>
      </c>
      <c r="E43" s="1" t="s">
        <v>29</v>
      </c>
      <c r="F43" s="1" t="s">
        <v>139</v>
      </c>
      <c r="G43" s="1" t="s">
        <v>140</v>
      </c>
      <c r="H43" s="1" t="s">
        <v>32</v>
      </c>
      <c r="I43" s="1" t="s">
        <v>33</v>
      </c>
      <c r="J43" s="2">
        <v>52427.0040649</v>
      </c>
      <c r="K43" s="2">
        <v>51262628.555699997</v>
      </c>
      <c r="L43" s="1" t="s">
        <v>34</v>
      </c>
      <c r="M43" s="2">
        <v>4075494.1644199998</v>
      </c>
      <c r="P43" s="1" t="s">
        <v>37</v>
      </c>
      <c r="U43" s="3">
        <v>41071</v>
      </c>
      <c r="V43" s="1">
        <v>0</v>
      </c>
      <c r="W43" s="2">
        <v>3202146.97</v>
      </c>
      <c r="X43" s="2">
        <v>12958.64</v>
      </c>
      <c r="Y43" s="1" t="s">
        <v>38</v>
      </c>
      <c r="Z43" s="1" t="s">
        <v>39</v>
      </c>
      <c r="AA43" s="1" t="s">
        <v>40</v>
      </c>
      <c r="AB43" s="2">
        <v>1026503.14139</v>
      </c>
      <c r="AC43" s="2">
        <v>12958484146.700001</v>
      </c>
    </row>
    <row r="44" spans="1:29" x14ac:dyDescent="0.25">
      <c r="A44" s="1">
        <v>1</v>
      </c>
      <c r="B44" s="1">
        <v>42</v>
      </c>
      <c r="C44" s="1">
        <v>517</v>
      </c>
      <c r="D44" s="2">
        <v>121.46</v>
      </c>
      <c r="E44" s="1" t="s">
        <v>55</v>
      </c>
      <c r="F44" s="1" t="s">
        <v>141</v>
      </c>
      <c r="G44" s="1" t="s">
        <v>142</v>
      </c>
      <c r="H44" s="1" t="s">
        <v>32</v>
      </c>
      <c r="I44" s="1" t="s">
        <v>33</v>
      </c>
      <c r="J44" s="2">
        <v>74096.063609799996</v>
      </c>
      <c r="K44" s="2">
        <v>121456686.384</v>
      </c>
      <c r="L44" s="1" t="s">
        <v>58</v>
      </c>
      <c r="M44" s="2">
        <v>6212599.72896</v>
      </c>
      <c r="P44" s="1" t="s">
        <v>37</v>
      </c>
      <c r="U44" s="3">
        <v>41071</v>
      </c>
      <c r="V44" s="1">
        <v>0</v>
      </c>
      <c r="W44" s="2">
        <v>3202146.97</v>
      </c>
      <c r="X44" s="2">
        <v>12958.64</v>
      </c>
      <c r="Y44" s="1" t="s">
        <v>38</v>
      </c>
      <c r="Z44" s="1" t="s">
        <v>39</v>
      </c>
      <c r="AA44" s="1" t="s">
        <v>40</v>
      </c>
      <c r="AB44" s="2">
        <v>1026503.14139</v>
      </c>
      <c r="AC44" s="2">
        <v>12958484146.700001</v>
      </c>
    </row>
    <row r="45" spans="1:29" x14ac:dyDescent="0.25">
      <c r="A45" s="1">
        <v>1</v>
      </c>
      <c r="B45" s="1">
        <v>43</v>
      </c>
      <c r="C45" s="1">
        <v>529</v>
      </c>
      <c r="D45" s="2">
        <v>148.15</v>
      </c>
      <c r="E45" s="1" t="s">
        <v>62</v>
      </c>
      <c r="F45" s="1" t="s">
        <v>143</v>
      </c>
      <c r="G45" s="1" t="s">
        <v>144</v>
      </c>
      <c r="H45" s="1" t="s">
        <v>32</v>
      </c>
      <c r="I45" s="1" t="s">
        <v>104</v>
      </c>
      <c r="J45" s="2">
        <v>78932.892097999997</v>
      </c>
      <c r="K45" s="2">
        <v>148137769.736</v>
      </c>
      <c r="L45" s="1" t="s">
        <v>58</v>
      </c>
      <c r="M45" s="2">
        <v>6212599.72896</v>
      </c>
      <c r="P45" s="1" t="s">
        <v>59</v>
      </c>
      <c r="U45" s="3">
        <v>41071</v>
      </c>
      <c r="V45" s="1">
        <v>0</v>
      </c>
      <c r="W45" s="2">
        <v>3203414.96</v>
      </c>
      <c r="X45" s="2">
        <v>12963.77</v>
      </c>
      <c r="Y45" s="1" t="s">
        <v>55</v>
      </c>
      <c r="Z45" s="1" t="s">
        <v>60</v>
      </c>
      <c r="AA45" s="1" t="s">
        <v>61</v>
      </c>
      <c r="AB45" s="2">
        <v>1011740.47622</v>
      </c>
      <c r="AC45" s="2">
        <v>12967342837.9</v>
      </c>
    </row>
    <row r="46" spans="1:29" x14ac:dyDescent="0.25">
      <c r="A46" s="1">
        <v>1</v>
      </c>
      <c r="B46" s="1">
        <v>44</v>
      </c>
      <c r="C46" s="1">
        <v>531</v>
      </c>
      <c r="D46" s="2">
        <v>74.760000000000005</v>
      </c>
      <c r="E46" s="1" t="s">
        <v>55</v>
      </c>
      <c r="F46" s="1" t="s">
        <v>145</v>
      </c>
      <c r="G46" s="1" t="s">
        <v>146</v>
      </c>
      <c r="H46" s="1" t="s">
        <v>32</v>
      </c>
      <c r="I46" s="1" t="s">
        <v>33</v>
      </c>
      <c r="J46" s="2">
        <v>53100.611313699999</v>
      </c>
      <c r="K46" s="2">
        <v>74755991.055500001</v>
      </c>
      <c r="L46" s="1" t="s">
        <v>58</v>
      </c>
      <c r="M46" s="2">
        <v>6212599.72896</v>
      </c>
      <c r="P46" s="1" t="s">
        <v>59</v>
      </c>
      <c r="U46" s="3">
        <v>41071</v>
      </c>
      <c r="V46" s="1">
        <v>0</v>
      </c>
      <c r="W46" s="2">
        <v>3203414.96</v>
      </c>
      <c r="X46" s="2">
        <v>12963.77</v>
      </c>
      <c r="Y46" s="1" t="s">
        <v>55</v>
      </c>
      <c r="Z46" s="1" t="s">
        <v>60</v>
      </c>
      <c r="AA46" s="1" t="s">
        <v>61</v>
      </c>
      <c r="AB46" s="2">
        <v>1011740.47622</v>
      </c>
      <c r="AC46" s="2">
        <v>12967342837.9</v>
      </c>
    </row>
    <row r="47" spans="1:29" x14ac:dyDescent="0.25">
      <c r="A47" s="1">
        <v>1</v>
      </c>
      <c r="B47" s="1">
        <v>45</v>
      </c>
      <c r="C47" s="1">
        <v>595</v>
      </c>
      <c r="D47" s="2">
        <v>111.11</v>
      </c>
      <c r="E47" s="1" t="s">
        <v>29</v>
      </c>
      <c r="F47" s="1" t="s">
        <v>147</v>
      </c>
      <c r="G47" s="1" t="s">
        <v>148</v>
      </c>
      <c r="H47" s="1" t="s">
        <v>32</v>
      </c>
      <c r="I47" s="1" t="s">
        <v>43</v>
      </c>
      <c r="J47" s="2">
        <v>67580.424454000007</v>
      </c>
      <c r="K47" s="2">
        <v>111105867.43799999</v>
      </c>
      <c r="L47" s="1" t="s">
        <v>34</v>
      </c>
      <c r="M47" s="2">
        <v>4075494.1644199998</v>
      </c>
      <c r="P47" s="1" t="s">
        <v>44</v>
      </c>
      <c r="U47" s="3">
        <v>42553</v>
      </c>
      <c r="V47" s="1">
        <v>0</v>
      </c>
      <c r="W47" s="2">
        <v>2909905.89</v>
      </c>
      <c r="X47" s="2">
        <v>11775.98</v>
      </c>
      <c r="Y47" s="1" t="s">
        <v>45</v>
      </c>
      <c r="Z47" s="1" t="s">
        <v>46</v>
      </c>
      <c r="AA47" s="1" t="s">
        <v>47</v>
      </c>
      <c r="AB47" s="2">
        <v>1767585.5729799999</v>
      </c>
      <c r="AC47" s="2">
        <v>11776457312.799999</v>
      </c>
    </row>
    <row r="48" spans="1:29" x14ac:dyDescent="0.25">
      <c r="A48" s="1">
        <v>1</v>
      </c>
      <c r="B48" s="1">
        <v>46</v>
      </c>
      <c r="C48" s="1">
        <v>622</v>
      </c>
      <c r="D48" s="2">
        <v>113.06</v>
      </c>
      <c r="E48" s="1" t="s">
        <v>62</v>
      </c>
      <c r="F48" s="1" t="s">
        <v>149</v>
      </c>
      <c r="G48" s="1" t="s">
        <v>150</v>
      </c>
      <c r="H48" s="1" t="s">
        <v>32</v>
      </c>
      <c r="I48" s="1" t="s">
        <v>43</v>
      </c>
      <c r="J48" s="2">
        <v>70479.064975600006</v>
      </c>
      <c r="K48" s="2">
        <v>113058052.936</v>
      </c>
      <c r="L48" s="1" t="s">
        <v>58</v>
      </c>
      <c r="M48" s="2">
        <v>6212599.72896</v>
      </c>
      <c r="P48" s="1" t="s">
        <v>37</v>
      </c>
      <c r="U48" s="3">
        <v>41071</v>
      </c>
      <c r="V48" s="1">
        <v>0</v>
      </c>
      <c r="W48" s="2">
        <v>3202146.97</v>
      </c>
      <c r="X48" s="2">
        <v>12958.64</v>
      </c>
      <c r="Y48" s="1" t="s">
        <v>38</v>
      </c>
      <c r="Z48" s="1" t="s">
        <v>39</v>
      </c>
      <c r="AA48" s="1" t="s">
        <v>40</v>
      </c>
      <c r="AB48" s="2">
        <v>1026503.14139</v>
      </c>
      <c r="AC48" s="2">
        <v>12958484146.700001</v>
      </c>
    </row>
    <row r="49" spans="1:29" x14ac:dyDescent="0.25">
      <c r="A49" s="1">
        <v>1</v>
      </c>
      <c r="B49" s="1">
        <v>47</v>
      </c>
      <c r="C49" s="1">
        <v>686</v>
      </c>
      <c r="D49" s="2">
        <v>102.25</v>
      </c>
      <c r="E49" s="1" t="s">
        <v>130</v>
      </c>
      <c r="F49" s="1" t="s">
        <v>151</v>
      </c>
      <c r="G49" s="1" t="s">
        <v>152</v>
      </c>
      <c r="H49" s="1" t="s">
        <v>32</v>
      </c>
      <c r="I49" s="1" t="s">
        <v>33</v>
      </c>
      <c r="J49" s="2">
        <v>71265.584701700005</v>
      </c>
      <c r="K49" s="2">
        <v>102238160.007</v>
      </c>
      <c r="L49" s="1" t="s">
        <v>58</v>
      </c>
      <c r="M49" s="2">
        <v>6212599.72896</v>
      </c>
      <c r="P49" s="1" t="s">
        <v>153</v>
      </c>
      <c r="U49" s="3">
        <v>42553</v>
      </c>
      <c r="V49" s="1">
        <v>0</v>
      </c>
      <c r="W49" s="2">
        <v>8105582.3300000001</v>
      </c>
      <c r="X49" s="2">
        <v>32802.160000000003</v>
      </c>
      <c r="Y49" s="1" t="s">
        <v>154</v>
      </c>
      <c r="Z49" s="1" t="s">
        <v>155</v>
      </c>
      <c r="AA49" s="1" t="s">
        <v>156</v>
      </c>
      <c r="AB49" s="2">
        <v>1789318.3534200001</v>
      </c>
      <c r="AC49" s="2">
        <v>32807978886.700001</v>
      </c>
    </row>
    <row r="50" spans="1:29" x14ac:dyDescent="0.25">
      <c r="A50" s="1">
        <v>1</v>
      </c>
      <c r="B50" s="1">
        <v>48</v>
      </c>
      <c r="C50" s="1">
        <v>699</v>
      </c>
      <c r="D50" s="2">
        <v>119.5</v>
      </c>
      <c r="E50" s="1" t="s">
        <v>62</v>
      </c>
      <c r="F50" s="1" t="s">
        <v>157</v>
      </c>
      <c r="G50" s="1" t="s">
        <v>158</v>
      </c>
      <c r="H50" s="1" t="s">
        <v>32</v>
      </c>
      <c r="I50" s="1" t="s">
        <v>33</v>
      </c>
      <c r="J50" s="2">
        <v>75090.090400300003</v>
      </c>
      <c r="K50" s="2">
        <v>119494443.77599999</v>
      </c>
      <c r="L50" s="1" t="s">
        <v>58</v>
      </c>
      <c r="M50" s="2">
        <v>6212599.72896</v>
      </c>
      <c r="P50" s="1" t="s">
        <v>37</v>
      </c>
      <c r="U50" s="3">
        <v>41071</v>
      </c>
      <c r="V50" s="1">
        <v>0</v>
      </c>
      <c r="W50" s="2">
        <v>3202146.97</v>
      </c>
      <c r="X50" s="2">
        <v>12958.64</v>
      </c>
      <c r="Y50" s="1" t="s">
        <v>38</v>
      </c>
      <c r="Z50" s="1" t="s">
        <v>39</v>
      </c>
      <c r="AA50" s="1" t="s">
        <v>40</v>
      </c>
      <c r="AB50" s="2">
        <v>1026503.14139</v>
      </c>
      <c r="AC50" s="2">
        <v>12958484146.700001</v>
      </c>
    </row>
    <row r="51" spans="1:29" x14ac:dyDescent="0.25">
      <c r="A51" s="1">
        <v>1</v>
      </c>
      <c r="B51" s="1">
        <v>49</v>
      </c>
      <c r="C51" s="1">
        <v>704</v>
      </c>
      <c r="D51" s="2">
        <v>40.33</v>
      </c>
      <c r="E51" s="1" t="s">
        <v>29</v>
      </c>
      <c r="F51" s="1" t="s">
        <v>159</v>
      </c>
      <c r="G51" s="1" t="s">
        <v>160</v>
      </c>
      <c r="H51" s="1" t="s">
        <v>32</v>
      </c>
      <c r="I51" s="1" t="s">
        <v>43</v>
      </c>
      <c r="J51" s="2">
        <v>37732.910311400003</v>
      </c>
      <c r="K51" s="2">
        <v>40334987.982600003</v>
      </c>
      <c r="L51" s="1" t="s">
        <v>34</v>
      </c>
      <c r="M51" s="2">
        <v>4075494.1644199998</v>
      </c>
      <c r="P51" s="1" t="s">
        <v>37</v>
      </c>
      <c r="U51" s="3">
        <v>41071</v>
      </c>
      <c r="V51" s="1">
        <v>0</v>
      </c>
      <c r="W51" s="2">
        <v>3202146.97</v>
      </c>
      <c r="X51" s="2">
        <v>12958.64</v>
      </c>
      <c r="Y51" s="1" t="s">
        <v>38</v>
      </c>
      <c r="Z51" s="1" t="s">
        <v>39</v>
      </c>
      <c r="AA51" s="1" t="s">
        <v>40</v>
      </c>
      <c r="AB51" s="2">
        <v>1026503.14139</v>
      </c>
      <c r="AC51" s="2">
        <v>12958484146.700001</v>
      </c>
    </row>
    <row r="52" spans="1:29" x14ac:dyDescent="0.25">
      <c r="A52" s="1">
        <v>1</v>
      </c>
      <c r="B52" s="1">
        <v>50</v>
      </c>
      <c r="C52" s="1">
        <v>713</v>
      </c>
      <c r="D52" s="2">
        <v>102.01</v>
      </c>
      <c r="E52" s="1" t="s">
        <v>83</v>
      </c>
      <c r="F52" s="1" t="s">
        <v>161</v>
      </c>
      <c r="G52" s="1" t="s">
        <v>162</v>
      </c>
      <c r="H52" s="1" t="s">
        <v>32</v>
      </c>
      <c r="I52" s="1" t="s">
        <v>43</v>
      </c>
      <c r="J52" s="2">
        <v>77197.7960877</v>
      </c>
      <c r="K52" s="2">
        <v>102001473.346</v>
      </c>
      <c r="L52" s="1" t="s">
        <v>58</v>
      </c>
      <c r="M52" s="2">
        <v>6212599.72896</v>
      </c>
      <c r="P52" s="1" t="s">
        <v>44</v>
      </c>
      <c r="U52" s="3">
        <v>42553</v>
      </c>
      <c r="V52" s="1">
        <v>0</v>
      </c>
      <c r="W52" s="2">
        <v>2909905.89</v>
      </c>
      <c r="X52" s="2">
        <v>11775.98</v>
      </c>
      <c r="Y52" s="1" t="s">
        <v>45</v>
      </c>
      <c r="Z52" s="1" t="s">
        <v>46</v>
      </c>
      <c r="AA52" s="1" t="s">
        <v>47</v>
      </c>
      <c r="AB52" s="2">
        <v>1767585.5729799999</v>
      </c>
      <c r="AC52" s="2">
        <v>11776457312.799999</v>
      </c>
    </row>
    <row r="53" spans="1:29" x14ac:dyDescent="0.25">
      <c r="A53" s="1">
        <v>1</v>
      </c>
      <c r="B53" s="1">
        <v>51</v>
      </c>
      <c r="C53" s="1">
        <v>713</v>
      </c>
      <c r="D53" s="2">
        <v>102.01</v>
      </c>
      <c r="E53" s="1" t="s">
        <v>83</v>
      </c>
      <c r="F53" s="1" t="s">
        <v>161</v>
      </c>
      <c r="G53" s="1" t="s">
        <v>162</v>
      </c>
      <c r="H53" s="1" t="s">
        <v>32</v>
      </c>
      <c r="I53" s="1" t="s">
        <v>43</v>
      </c>
      <c r="J53" s="2">
        <v>77197.7960877</v>
      </c>
      <c r="K53" s="2">
        <v>102001473.346</v>
      </c>
      <c r="L53" s="1" t="s">
        <v>34</v>
      </c>
      <c r="M53" s="2">
        <v>4075494.1644199998</v>
      </c>
      <c r="P53" s="1" t="s">
        <v>44</v>
      </c>
      <c r="U53" s="3">
        <v>42553</v>
      </c>
      <c r="V53" s="1">
        <v>0</v>
      </c>
      <c r="W53" s="2">
        <v>2909905.89</v>
      </c>
      <c r="X53" s="2">
        <v>11775.98</v>
      </c>
      <c r="Y53" s="1" t="s">
        <v>45</v>
      </c>
      <c r="Z53" s="1" t="s">
        <v>46</v>
      </c>
      <c r="AA53" s="1" t="s">
        <v>47</v>
      </c>
      <c r="AB53" s="2">
        <v>1767585.5729799999</v>
      </c>
      <c r="AC53" s="2">
        <v>11776457312.799999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6EC3C-EED2-46AF-A3D7-9755C3D59EF6}">
  <dimension ref="A1:AC56"/>
  <sheetViews>
    <sheetView topLeftCell="A31" workbookViewId="0">
      <selection activeCell="F1" sqref="F1:G1048576"/>
    </sheetView>
  </sheetViews>
  <sheetFormatPr defaultColWidth="8.7109375" defaultRowHeight="15" x14ac:dyDescent="0.25"/>
  <cols>
    <col min="1" max="1" width="10.5703125" style="23" customWidth="1"/>
    <col min="2" max="2" width="11.140625" style="23" bestFit="1" customWidth="1"/>
    <col min="3" max="3" width="12.140625" style="23" bestFit="1" customWidth="1"/>
    <col min="4" max="4" width="19.5703125" style="2" customWidth="1"/>
    <col min="5" max="5" width="9" style="23" bestFit="1" customWidth="1"/>
    <col min="6" max="6" width="12.85546875" style="23" bestFit="1" customWidth="1"/>
    <col min="7" max="7" width="33.42578125" style="23" bestFit="1" customWidth="1"/>
    <col min="8" max="8" width="7.42578125" style="23" bestFit="1" customWidth="1"/>
    <col min="9" max="9" width="11.85546875" style="23" bestFit="1" customWidth="1"/>
    <col min="10" max="10" width="18.5703125" style="2" bestFit="1" customWidth="1"/>
    <col min="11" max="11" width="21.5703125" style="2" bestFit="1" customWidth="1"/>
    <col min="12" max="12" width="13.140625" style="23" bestFit="1" customWidth="1"/>
    <col min="13" max="13" width="19.5703125" style="2" bestFit="1" customWidth="1"/>
    <col min="14" max="14" width="8.5703125" style="23" bestFit="1" customWidth="1"/>
    <col min="15" max="15" width="11.85546875" style="23" bestFit="1" customWidth="1"/>
    <col min="16" max="16" width="38.5703125" style="23" bestFit="1" customWidth="1"/>
    <col min="17" max="17" width="10.85546875" style="23" bestFit="1" customWidth="1"/>
    <col min="18" max="18" width="10.42578125" style="23" bestFit="1" customWidth="1"/>
    <col min="19" max="19" width="9.85546875" style="23" bestFit="1" customWidth="1"/>
    <col min="20" max="20" width="10" style="23" bestFit="1" customWidth="1"/>
    <col min="21" max="21" width="9.42578125" style="22" bestFit="1" customWidth="1"/>
    <col min="22" max="22" width="7.5703125" style="23" bestFit="1" customWidth="1"/>
    <col min="23" max="23" width="19.5703125" style="2" bestFit="1" customWidth="1"/>
    <col min="24" max="24" width="17.5703125" style="2" bestFit="1" customWidth="1"/>
    <col min="25" max="25" width="11.85546875" style="23" bestFit="1" customWidth="1"/>
    <col min="26" max="26" width="6.85546875" style="23" bestFit="1" customWidth="1"/>
    <col min="27" max="27" width="31.5703125" style="23" bestFit="1" customWidth="1"/>
    <col min="28" max="28" width="19.5703125" style="2" bestFit="1" customWidth="1"/>
    <col min="29" max="29" width="23.5703125" style="2" bestFit="1" customWidth="1"/>
    <col min="30" max="16384" width="8.7109375" style="22"/>
  </cols>
  <sheetData>
    <row r="1" spans="1:29" x14ac:dyDescent="0.25">
      <c r="A1" s="23" t="s">
        <v>0</v>
      </c>
      <c r="B1" s="23" t="s">
        <v>1</v>
      </c>
      <c r="C1" s="23" t="s">
        <v>2</v>
      </c>
      <c r="D1" s="2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" t="s">
        <v>9</v>
      </c>
      <c r="K1" s="2" t="s">
        <v>10</v>
      </c>
      <c r="L1" s="23" t="s">
        <v>11</v>
      </c>
      <c r="M1" s="2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22" t="s">
        <v>20</v>
      </c>
      <c r="V1" s="23" t="s">
        <v>21</v>
      </c>
      <c r="W1" s="2" t="s">
        <v>22</v>
      </c>
      <c r="X1" s="2" t="s">
        <v>23</v>
      </c>
      <c r="Y1" s="23" t="s">
        <v>24</v>
      </c>
      <c r="Z1" s="23" t="s">
        <v>25</v>
      </c>
      <c r="AA1" s="23" t="s">
        <v>26</v>
      </c>
      <c r="AB1" s="2" t="s">
        <v>27</v>
      </c>
      <c r="AC1" s="2" t="s">
        <v>28</v>
      </c>
    </row>
    <row r="2" spans="1:29" x14ac:dyDescent="0.25">
      <c r="A2" s="23">
        <v>1</v>
      </c>
      <c r="B2" s="23">
        <v>27</v>
      </c>
      <c r="C2" s="23">
        <v>252</v>
      </c>
      <c r="D2" s="2">
        <v>101.81</v>
      </c>
      <c r="E2" s="23" t="s">
        <v>62</v>
      </c>
      <c r="F2" s="23" t="s">
        <v>109</v>
      </c>
      <c r="G2" s="25" t="s">
        <v>110</v>
      </c>
      <c r="H2" s="23" t="s">
        <v>32</v>
      </c>
      <c r="I2" s="23" t="s">
        <v>33</v>
      </c>
      <c r="J2" s="2">
        <v>62389.462948599998</v>
      </c>
      <c r="K2" s="2">
        <v>101801539.723</v>
      </c>
      <c r="L2" s="23" t="s">
        <v>58</v>
      </c>
      <c r="M2" s="2">
        <v>6212599.72896</v>
      </c>
      <c r="P2" s="23" t="s">
        <v>59</v>
      </c>
      <c r="U2" s="3">
        <v>41071</v>
      </c>
      <c r="V2" s="23">
        <v>0</v>
      </c>
      <c r="W2" s="2">
        <v>3203414.96</v>
      </c>
      <c r="X2" s="2">
        <v>12963.77</v>
      </c>
      <c r="Y2" s="23" t="s">
        <v>55</v>
      </c>
      <c r="Z2" s="23" t="s">
        <v>60</v>
      </c>
      <c r="AA2" s="23" t="s">
        <v>61</v>
      </c>
      <c r="AB2" s="2">
        <v>1011740.47622</v>
      </c>
      <c r="AC2" s="2">
        <v>12967342837.9</v>
      </c>
    </row>
    <row r="3" spans="1:29" x14ac:dyDescent="0.25">
      <c r="A3" s="23">
        <v>1</v>
      </c>
      <c r="B3" s="23">
        <v>43</v>
      </c>
      <c r="C3" s="23">
        <v>529</v>
      </c>
      <c r="D3" s="2">
        <v>148.15</v>
      </c>
      <c r="E3" s="23" t="s">
        <v>62</v>
      </c>
      <c r="F3" s="23" t="s">
        <v>143</v>
      </c>
      <c r="G3" s="23" t="s">
        <v>144</v>
      </c>
      <c r="H3" s="23" t="s">
        <v>32</v>
      </c>
      <c r="I3" s="23" t="s">
        <v>104</v>
      </c>
      <c r="J3" s="2">
        <v>78932.892097999997</v>
      </c>
      <c r="K3" s="2">
        <v>148137769.736</v>
      </c>
      <c r="L3" s="23" t="s">
        <v>58</v>
      </c>
      <c r="M3" s="2">
        <v>6212599.72896</v>
      </c>
      <c r="P3" s="23" t="s">
        <v>59</v>
      </c>
      <c r="U3" s="3">
        <v>41071</v>
      </c>
      <c r="V3" s="23">
        <v>0</v>
      </c>
      <c r="W3" s="2">
        <v>3203414.96</v>
      </c>
      <c r="X3" s="2">
        <v>12963.77</v>
      </c>
      <c r="Y3" s="23" t="s">
        <v>55</v>
      </c>
      <c r="Z3" s="23" t="s">
        <v>60</v>
      </c>
      <c r="AA3" s="23" t="s">
        <v>61</v>
      </c>
      <c r="AB3" s="2">
        <v>1011740.47622</v>
      </c>
      <c r="AC3" s="2">
        <v>12967342837.9</v>
      </c>
    </row>
    <row r="4" spans="1:29" x14ac:dyDescent="0.25">
      <c r="A4" s="23">
        <v>1</v>
      </c>
      <c r="B4" s="23">
        <v>5</v>
      </c>
      <c r="C4" s="23">
        <v>254</v>
      </c>
      <c r="D4" s="2">
        <v>157.16999999999999</v>
      </c>
      <c r="E4" s="23" t="s">
        <v>55</v>
      </c>
      <c r="F4" s="23" t="s">
        <v>56</v>
      </c>
      <c r="G4" s="26" t="s">
        <v>57</v>
      </c>
      <c r="H4" s="23" t="s">
        <v>32</v>
      </c>
      <c r="I4" s="23" t="s">
        <v>33</v>
      </c>
      <c r="J4" s="2">
        <v>83119.652128700007</v>
      </c>
      <c r="K4" s="2">
        <v>157172971.20899999</v>
      </c>
      <c r="L4" s="23" t="s">
        <v>58</v>
      </c>
      <c r="M4" s="2">
        <v>6212599.72896</v>
      </c>
      <c r="N4" s="23" t="s">
        <v>35</v>
      </c>
      <c r="O4" s="23" t="s">
        <v>36</v>
      </c>
      <c r="P4" s="23" t="s">
        <v>59</v>
      </c>
      <c r="U4" s="3">
        <v>41071</v>
      </c>
      <c r="V4" s="23">
        <v>0</v>
      </c>
      <c r="W4" s="2">
        <v>3203414.96</v>
      </c>
      <c r="X4" s="2">
        <v>12963.77</v>
      </c>
      <c r="Y4" s="23" t="s">
        <v>55</v>
      </c>
      <c r="Z4" s="23" t="s">
        <v>60</v>
      </c>
      <c r="AA4" s="23" t="s">
        <v>61</v>
      </c>
      <c r="AB4" s="2">
        <v>1011740.47622</v>
      </c>
      <c r="AC4" s="2">
        <v>12967342837.9</v>
      </c>
    </row>
    <row r="5" spans="1:29" x14ac:dyDescent="0.25">
      <c r="A5" s="23">
        <v>1</v>
      </c>
      <c r="B5" s="23">
        <v>44</v>
      </c>
      <c r="C5" s="23">
        <v>531</v>
      </c>
      <c r="D5" s="2">
        <v>74.760000000000005</v>
      </c>
      <c r="E5" s="23" t="s">
        <v>55</v>
      </c>
      <c r="F5" s="23" t="s">
        <v>145</v>
      </c>
      <c r="G5" s="25" t="s">
        <v>146</v>
      </c>
      <c r="H5" s="23" t="s">
        <v>32</v>
      </c>
      <c r="I5" s="23" t="s">
        <v>33</v>
      </c>
      <c r="J5" s="2">
        <v>53100.611313699999</v>
      </c>
      <c r="K5" s="2">
        <v>74755991.055500001</v>
      </c>
      <c r="L5" s="23" t="s">
        <v>58</v>
      </c>
      <c r="M5" s="2">
        <v>6212599.72896</v>
      </c>
      <c r="P5" s="23" t="s">
        <v>59</v>
      </c>
      <c r="U5" s="3">
        <v>41071</v>
      </c>
      <c r="V5" s="23">
        <v>0</v>
      </c>
      <c r="W5" s="2">
        <v>3203414.96</v>
      </c>
      <c r="X5" s="2">
        <v>12963.77</v>
      </c>
      <c r="Y5" s="23" t="s">
        <v>55</v>
      </c>
      <c r="Z5" s="23" t="s">
        <v>60</v>
      </c>
      <c r="AA5" s="23" t="s">
        <v>61</v>
      </c>
      <c r="AB5" s="2">
        <v>1011740.47622</v>
      </c>
      <c r="AC5" s="2">
        <v>12967342837.9</v>
      </c>
    </row>
    <row r="6" spans="1:29" x14ac:dyDescent="0.25">
      <c r="A6" s="23">
        <v>1</v>
      </c>
      <c r="B6" s="23">
        <v>0</v>
      </c>
      <c r="C6" s="23">
        <v>41</v>
      </c>
      <c r="D6" s="2">
        <v>63.42</v>
      </c>
      <c r="E6" s="23" t="s">
        <v>29</v>
      </c>
      <c r="F6" s="23" t="s">
        <v>30</v>
      </c>
      <c r="G6" s="23" t="s">
        <v>31</v>
      </c>
      <c r="H6" s="23" t="s">
        <v>32</v>
      </c>
      <c r="I6" s="23" t="s">
        <v>33</v>
      </c>
      <c r="J6" s="2">
        <v>52769.879481900003</v>
      </c>
      <c r="K6" s="2">
        <v>63411652.3539</v>
      </c>
      <c r="L6" s="23" t="s">
        <v>34</v>
      </c>
      <c r="M6" s="2">
        <v>4075494.1644199998</v>
      </c>
      <c r="N6" s="23" t="s">
        <v>35</v>
      </c>
      <c r="O6" s="23" t="s">
        <v>36</v>
      </c>
      <c r="P6" s="23" t="s">
        <v>37</v>
      </c>
      <c r="U6" s="3">
        <v>41071</v>
      </c>
      <c r="V6" s="23">
        <v>0</v>
      </c>
      <c r="W6" s="2">
        <v>3202146.97</v>
      </c>
      <c r="X6" s="2">
        <v>12958.64</v>
      </c>
      <c r="Y6" s="23" t="s">
        <v>38</v>
      </c>
      <c r="Z6" s="23" t="s">
        <v>39</v>
      </c>
      <c r="AA6" s="23" t="s">
        <v>40</v>
      </c>
      <c r="AB6" s="2">
        <v>1026503.14139</v>
      </c>
      <c r="AC6" s="2">
        <v>12958484146.700001</v>
      </c>
    </row>
    <row r="7" spans="1:29" x14ac:dyDescent="0.25">
      <c r="A7" s="23">
        <v>1</v>
      </c>
      <c r="B7" s="23">
        <v>4</v>
      </c>
      <c r="C7" s="23">
        <v>232</v>
      </c>
      <c r="D7" s="2">
        <v>103.26</v>
      </c>
      <c r="E7" s="23" t="s">
        <v>29</v>
      </c>
      <c r="F7" s="23" t="s">
        <v>53</v>
      </c>
      <c r="G7" s="23" t="s">
        <v>54</v>
      </c>
      <c r="H7" s="23" t="s">
        <v>32</v>
      </c>
      <c r="I7" s="23" t="s">
        <v>33</v>
      </c>
      <c r="J7" s="2">
        <v>80661.790672200004</v>
      </c>
      <c r="K7" s="2">
        <v>103265382.433</v>
      </c>
      <c r="L7" s="23" t="s">
        <v>34</v>
      </c>
      <c r="M7" s="2">
        <v>4075494.1644199998</v>
      </c>
      <c r="N7" s="23" t="s">
        <v>35</v>
      </c>
      <c r="O7" s="23" t="s">
        <v>36</v>
      </c>
      <c r="P7" s="23" t="s">
        <v>37</v>
      </c>
      <c r="U7" s="3">
        <v>41071</v>
      </c>
      <c r="V7" s="23">
        <v>0</v>
      </c>
      <c r="W7" s="2">
        <v>3202146.97</v>
      </c>
      <c r="X7" s="2">
        <v>12958.64</v>
      </c>
      <c r="Y7" s="23" t="s">
        <v>38</v>
      </c>
      <c r="Z7" s="23" t="s">
        <v>39</v>
      </c>
      <c r="AA7" s="23" t="s">
        <v>40</v>
      </c>
      <c r="AB7" s="2">
        <v>1026503.14139</v>
      </c>
      <c r="AC7" s="2">
        <v>12958484146.700001</v>
      </c>
    </row>
    <row r="8" spans="1:29" x14ac:dyDescent="0.25">
      <c r="A8" s="23">
        <v>1</v>
      </c>
      <c r="B8" s="23">
        <v>11</v>
      </c>
      <c r="C8" s="23">
        <v>418</v>
      </c>
      <c r="D8" s="2">
        <v>111.83</v>
      </c>
      <c r="E8" s="23" t="s">
        <v>29</v>
      </c>
      <c r="F8" s="23" t="s">
        <v>73</v>
      </c>
      <c r="G8" s="23" t="s">
        <v>74</v>
      </c>
      <c r="H8" s="23" t="s">
        <v>32</v>
      </c>
      <c r="I8" s="23" t="s">
        <v>43</v>
      </c>
      <c r="J8" s="2">
        <v>64766.160320800002</v>
      </c>
      <c r="K8" s="2">
        <v>111836798.54099999</v>
      </c>
      <c r="L8" s="23" t="s">
        <v>34</v>
      </c>
      <c r="M8" s="2">
        <v>4075494.1644199998</v>
      </c>
      <c r="N8" s="23" t="s">
        <v>35</v>
      </c>
      <c r="O8" s="23" t="s">
        <v>36</v>
      </c>
      <c r="P8" s="23" t="s">
        <v>37</v>
      </c>
      <c r="U8" s="3">
        <v>41071</v>
      </c>
      <c r="V8" s="23">
        <v>0</v>
      </c>
      <c r="W8" s="2">
        <v>3202146.97</v>
      </c>
      <c r="X8" s="2">
        <v>12958.64</v>
      </c>
      <c r="Y8" s="23" t="s">
        <v>38</v>
      </c>
      <c r="Z8" s="23" t="s">
        <v>39</v>
      </c>
      <c r="AA8" s="23" t="s">
        <v>40</v>
      </c>
      <c r="AB8" s="2">
        <v>1026503.14139</v>
      </c>
      <c r="AC8" s="2">
        <v>12958484146.700001</v>
      </c>
    </row>
    <row r="9" spans="1:29" x14ac:dyDescent="0.25">
      <c r="A9" s="23">
        <v>1</v>
      </c>
      <c r="B9" s="23">
        <v>31</v>
      </c>
      <c r="C9" s="23">
        <v>329</v>
      </c>
      <c r="D9" s="2">
        <v>100.68</v>
      </c>
      <c r="E9" s="23" t="s">
        <v>29</v>
      </c>
      <c r="F9" s="23" t="s">
        <v>115</v>
      </c>
      <c r="G9" s="23" t="s">
        <v>116</v>
      </c>
      <c r="H9" s="23" t="s">
        <v>32</v>
      </c>
      <c r="I9" s="23" t="s">
        <v>33</v>
      </c>
      <c r="J9" s="2">
        <v>61665.277586900003</v>
      </c>
      <c r="K9" s="2">
        <v>100677785.263</v>
      </c>
      <c r="L9" s="23" t="s">
        <v>34</v>
      </c>
      <c r="M9" s="2">
        <v>4075494.1644199998</v>
      </c>
      <c r="P9" s="23" t="s">
        <v>37</v>
      </c>
      <c r="U9" s="3">
        <v>41071</v>
      </c>
      <c r="V9" s="23">
        <v>0</v>
      </c>
      <c r="W9" s="2">
        <v>3202146.97</v>
      </c>
      <c r="X9" s="2">
        <v>12958.64</v>
      </c>
      <c r="Y9" s="23" t="s">
        <v>38</v>
      </c>
      <c r="Z9" s="23" t="s">
        <v>39</v>
      </c>
      <c r="AA9" s="23" t="s">
        <v>40</v>
      </c>
      <c r="AB9" s="2">
        <v>1026503.14139</v>
      </c>
      <c r="AC9" s="2">
        <v>12958484146.700001</v>
      </c>
    </row>
    <row r="10" spans="1:29" x14ac:dyDescent="0.25">
      <c r="A10" s="23">
        <v>1</v>
      </c>
      <c r="B10" s="23">
        <v>40</v>
      </c>
      <c r="C10" s="23">
        <v>505</v>
      </c>
      <c r="D10" s="2">
        <v>139.11000000000001</v>
      </c>
      <c r="E10" s="23" t="s">
        <v>29</v>
      </c>
      <c r="F10" s="23" t="s">
        <v>137</v>
      </c>
      <c r="G10" s="23" t="s">
        <v>138</v>
      </c>
      <c r="H10" s="23" t="s">
        <v>32</v>
      </c>
      <c r="I10" s="23" t="s">
        <v>33</v>
      </c>
      <c r="J10" s="2">
        <v>90237.544894000006</v>
      </c>
      <c r="K10" s="2">
        <v>139102248.15599999</v>
      </c>
      <c r="L10" s="23" t="s">
        <v>34</v>
      </c>
      <c r="M10" s="2">
        <v>4075494.1644199998</v>
      </c>
      <c r="P10" s="23" t="s">
        <v>37</v>
      </c>
      <c r="U10" s="3">
        <v>41071</v>
      </c>
      <c r="V10" s="23">
        <v>0</v>
      </c>
      <c r="W10" s="2">
        <v>3202146.97</v>
      </c>
      <c r="X10" s="2">
        <v>12958.64</v>
      </c>
      <c r="Y10" s="23" t="s">
        <v>38</v>
      </c>
      <c r="Z10" s="23" t="s">
        <v>39</v>
      </c>
      <c r="AA10" s="23" t="s">
        <v>40</v>
      </c>
      <c r="AB10" s="2">
        <v>1026503.14139</v>
      </c>
      <c r="AC10" s="2">
        <v>12958484146.700001</v>
      </c>
    </row>
    <row r="11" spans="1:29" x14ac:dyDescent="0.25">
      <c r="A11" s="23">
        <v>1</v>
      </c>
      <c r="B11" s="23">
        <v>41</v>
      </c>
      <c r="C11" s="23">
        <v>506</v>
      </c>
      <c r="D11" s="2">
        <v>51.26</v>
      </c>
      <c r="E11" s="23" t="s">
        <v>29</v>
      </c>
      <c r="F11" s="23" t="s">
        <v>139</v>
      </c>
      <c r="G11" s="23" t="s">
        <v>140</v>
      </c>
      <c r="H11" s="23" t="s">
        <v>32</v>
      </c>
      <c r="I11" s="23" t="s">
        <v>33</v>
      </c>
      <c r="J11" s="2">
        <v>52427.0040649</v>
      </c>
      <c r="K11" s="2">
        <v>51262628.555699997</v>
      </c>
      <c r="L11" s="23" t="s">
        <v>34</v>
      </c>
      <c r="M11" s="2">
        <v>4075494.1644199998</v>
      </c>
      <c r="P11" s="23" t="s">
        <v>37</v>
      </c>
      <c r="U11" s="3">
        <v>41071</v>
      </c>
      <c r="V11" s="23">
        <v>0</v>
      </c>
      <c r="W11" s="2">
        <v>3202146.97</v>
      </c>
      <c r="X11" s="2">
        <v>12958.64</v>
      </c>
      <c r="Y11" s="23" t="s">
        <v>38</v>
      </c>
      <c r="Z11" s="23" t="s">
        <v>39</v>
      </c>
      <c r="AA11" s="23" t="s">
        <v>40</v>
      </c>
      <c r="AB11" s="2">
        <v>1026503.14139</v>
      </c>
      <c r="AC11" s="2">
        <v>12958484146.700001</v>
      </c>
    </row>
    <row r="12" spans="1:29" x14ac:dyDescent="0.25">
      <c r="A12" s="23">
        <v>1</v>
      </c>
      <c r="B12" s="23">
        <v>49</v>
      </c>
      <c r="C12" s="23">
        <v>704</v>
      </c>
      <c r="D12" s="2">
        <v>40.33</v>
      </c>
      <c r="E12" s="23" t="s">
        <v>29</v>
      </c>
      <c r="F12" s="23" t="s">
        <v>159</v>
      </c>
      <c r="G12" s="23" t="s">
        <v>160</v>
      </c>
      <c r="H12" s="23" t="s">
        <v>32</v>
      </c>
      <c r="I12" s="23" t="s">
        <v>43</v>
      </c>
      <c r="J12" s="2">
        <v>37732.910311400003</v>
      </c>
      <c r="K12" s="2">
        <v>40334987.982600003</v>
      </c>
      <c r="L12" s="23" t="s">
        <v>34</v>
      </c>
      <c r="M12" s="2">
        <v>4075494.1644199998</v>
      </c>
      <c r="P12" s="23" t="s">
        <v>37</v>
      </c>
      <c r="U12" s="3">
        <v>41071</v>
      </c>
      <c r="V12" s="23">
        <v>0</v>
      </c>
      <c r="W12" s="2">
        <v>3202146.97</v>
      </c>
      <c r="X12" s="2">
        <v>12958.64</v>
      </c>
      <c r="Y12" s="23" t="s">
        <v>38</v>
      </c>
      <c r="Z12" s="23" t="s">
        <v>39</v>
      </c>
      <c r="AA12" s="23" t="s">
        <v>40</v>
      </c>
      <c r="AB12" s="2">
        <v>1026503.14139</v>
      </c>
      <c r="AC12" s="2">
        <v>12958484146.700001</v>
      </c>
    </row>
    <row r="13" spans="1:29" x14ac:dyDescent="0.25">
      <c r="A13" s="23">
        <v>1</v>
      </c>
      <c r="B13" s="23">
        <v>38</v>
      </c>
      <c r="C13" s="23">
        <v>495</v>
      </c>
      <c r="D13" s="2">
        <v>96.8</v>
      </c>
      <c r="E13" s="23" t="s">
        <v>83</v>
      </c>
      <c r="F13" s="23" t="s">
        <v>135</v>
      </c>
      <c r="G13" s="25" t="s">
        <v>136</v>
      </c>
      <c r="H13" s="23" t="s">
        <v>32</v>
      </c>
      <c r="I13" s="23" t="s">
        <v>43</v>
      </c>
      <c r="J13" s="2">
        <v>67554.739103</v>
      </c>
      <c r="K13" s="2">
        <v>96793881.954799995</v>
      </c>
      <c r="L13" s="23" t="s">
        <v>58</v>
      </c>
      <c r="M13" s="2">
        <v>6212599.72896</v>
      </c>
      <c r="P13" s="23" t="s">
        <v>37</v>
      </c>
      <c r="U13" s="3">
        <v>41071</v>
      </c>
      <c r="V13" s="23">
        <v>0</v>
      </c>
      <c r="W13" s="2">
        <v>3202146.97</v>
      </c>
      <c r="X13" s="2">
        <v>12958.64</v>
      </c>
      <c r="Y13" s="23" t="s">
        <v>38</v>
      </c>
      <c r="Z13" s="23" t="s">
        <v>39</v>
      </c>
      <c r="AA13" s="23" t="s">
        <v>40</v>
      </c>
      <c r="AB13" s="2">
        <v>1026503.14139</v>
      </c>
      <c r="AC13" s="2">
        <v>12958484146.700001</v>
      </c>
    </row>
    <row r="14" spans="1:29" x14ac:dyDescent="0.25">
      <c r="A14" s="23">
        <v>1</v>
      </c>
      <c r="B14" s="23">
        <v>39</v>
      </c>
      <c r="C14" s="23">
        <v>495</v>
      </c>
      <c r="D14" s="2">
        <v>96.8</v>
      </c>
      <c r="E14" s="23" t="s">
        <v>83</v>
      </c>
      <c r="F14" s="23" t="s">
        <v>135</v>
      </c>
      <c r="G14" s="23" t="s">
        <v>136</v>
      </c>
      <c r="H14" s="23" t="s">
        <v>32</v>
      </c>
      <c r="I14" s="23" t="s">
        <v>43</v>
      </c>
      <c r="J14" s="2">
        <v>67554.739103</v>
      </c>
      <c r="K14" s="2">
        <v>96793881.954799995</v>
      </c>
      <c r="L14" s="23" t="s">
        <v>34</v>
      </c>
      <c r="M14" s="2">
        <v>4075494.1644199998</v>
      </c>
      <c r="P14" s="23" t="s">
        <v>37</v>
      </c>
      <c r="U14" s="3">
        <v>41071</v>
      </c>
      <c r="V14" s="23">
        <v>0</v>
      </c>
      <c r="W14" s="2">
        <v>3202146.97</v>
      </c>
      <c r="X14" s="2">
        <v>12958.64</v>
      </c>
      <c r="Y14" s="23" t="s">
        <v>38</v>
      </c>
      <c r="Z14" s="23" t="s">
        <v>39</v>
      </c>
      <c r="AA14" s="23" t="s">
        <v>40</v>
      </c>
      <c r="AB14" s="2">
        <v>1026503.14139</v>
      </c>
      <c r="AC14" s="2">
        <v>12958484146.700001</v>
      </c>
    </row>
    <row r="15" spans="1:29" x14ac:dyDescent="0.25">
      <c r="A15" s="23">
        <v>1</v>
      </c>
      <c r="B15" s="23">
        <v>6</v>
      </c>
      <c r="C15" s="23">
        <v>331</v>
      </c>
      <c r="D15" s="2">
        <v>81.67</v>
      </c>
      <c r="E15" s="23" t="s">
        <v>62</v>
      </c>
      <c r="F15" s="23" t="s">
        <v>63</v>
      </c>
      <c r="G15" s="23" t="s">
        <v>64</v>
      </c>
      <c r="H15" s="23" t="s">
        <v>32</v>
      </c>
      <c r="I15" s="23" t="s">
        <v>33</v>
      </c>
      <c r="J15" s="2">
        <v>57939.755118300003</v>
      </c>
      <c r="K15" s="2">
        <v>81659818.032800004</v>
      </c>
      <c r="L15" s="23" t="s">
        <v>58</v>
      </c>
      <c r="M15" s="2">
        <v>6212599.72896</v>
      </c>
      <c r="N15" s="23" t="s">
        <v>35</v>
      </c>
      <c r="O15" s="23" t="s">
        <v>36</v>
      </c>
      <c r="P15" s="23" t="s">
        <v>37</v>
      </c>
      <c r="U15" s="3">
        <v>41071</v>
      </c>
      <c r="V15" s="23">
        <v>0</v>
      </c>
      <c r="W15" s="2">
        <v>3202146.97</v>
      </c>
      <c r="X15" s="2">
        <v>12958.64</v>
      </c>
      <c r="Y15" s="23" t="s">
        <v>38</v>
      </c>
      <c r="Z15" s="23" t="s">
        <v>39</v>
      </c>
      <c r="AA15" s="23" t="s">
        <v>40</v>
      </c>
      <c r="AB15" s="2">
        <v>1026503.14139</v>
      </c>
      <c r="AC15" s="2">
        <v>12958484146.700001</v>
      </c>
    </row>
    <row r="16" spans="1:29" x14ac:dyDescent="0.25">
      <c r="A16" s="23">
        <v>1</v>
      </c>
      <c r="B16" s="23">
        <v>12</v>
      </c>
      <c r="C16" s="23">
        <v>421</v>
      </c>
      <c r="D16" s="2">
        <v>115.95</v>
      </c>
      <c r="E16" s="23" t="s">
        <v>62</v>
      </c>
      <c r="F16" s="23" t="s">
        <v>75</v>
      </c>
      <c r="G16" s="23" t="s">
        <v>76</v>
      </c>
      <c r="H16" s="23" t="s">
        <v>32</v>
      </c>
      <c r="I16" s="23" t="s">
        <v>43</v>
      </c>
      <c r="J16" s="2">
        <v>107294.722864</v>
      </c>
      <c r="K16" s="2">
        <v>115941818.64</v>
      </c>
      <c r="L16" s="23" t="s">
        <v>58</v>
      </c>
      <c r="M16" s="2">
        <v>6212599.72896</v>
      </c>
      <c r="N16" s="23" t="s">
        <v>35</v>
      </c>
      <c r="O16" s="23" t="s">
        <v>36</v>
      </c>
      <c r="P16" s="23" t="s">
        <v>37</v>
      </c>
      <c r="U16" s="3">
        <v>41071</v>
      </c>
      <c r="V16" s="23">
        <v>0</v>
      </c>
      <c r="W16" s="2">
        <v>3202146.97</v>
      </c>
      <c r="X16" s="2">
        <v>12958.64</v>
      </c>
      <c r="Y16" s="23" t="s">
        <v>38</v>
      </c>
      <c r="Z16" s="23" t="s">
        <v>39</v>
      </c>
      <c r="AA16" s="23" t="s">
        <v>40</v>
      </c>
      <c r="AB16" s="2">
        <v>1026503.14139</v>
      </c>
      <c r="AC16" s="2">
        <v>12958484146.700001</v>
      </c>
    </row>
    <row r="17" spans="1:29" x14ac:dyDescent="0.25">
      <c r="A17" s="23">
        <v>1</v>
      </c>
      <c r="B17" s="23">
        <v>14</v>
      </c>
      <c r="C17" s="23">
        <v>496</v>
      </c>
      <c r="D17" s="2">
        <v>113.18</v>
      </c>
      <c r="E17" s="23" t="s">
        <v>62</v>
      </c>
      <c r="F17" s="23" t="s">
        <v>79</v>
      </c>
      <c r="G17" s="26" t="s">
        <v>80</v>
      </c>
      <c r="H17" s="23" t="s">
        <v>32</v>
      </c>
      <c r="I17" s="23" t="s">
        <v>43</v>
      </c>
      <c r="J17" s="2">
        <v>85018.344826400004</v>
      </c>
      <c r="K17" s="2">
        <v>113175338.39399999</v>
      </c>
      <c r="L17" s="23" t="s">
        <v>58</v>
      </c>
      <c r="M17" s="2">
        <v>6212599.72896</v>
      </c>
      <c r="N17" s="23" t="s">
        <v>35</v>
      </c>
      <c r="O17" s="23" t="s">
        <v>36</v>
      </c>
      <c r="P17" s="23" t="s">
        <v>37</v>
      </c>
      <c r="U17" s="3">
        <v>41071</v>
      </c>
      <c r="V17" s="23">
        <v>0</v>
      </c>
      <c r="W17" s="2">
        <v>3202146.97</v>
      </c>
      <c r="X17" s="2">
        <v>12958.64</v>
      </c>
      <c r="Y17" s="23" t="s">
        <v>38</v>
      </c>
      <c r="Z17" s="23" t="s">
        <v>39</v>
      </c>
      <c r="AA17" s="23" t="s">
        <v>40</v>
      </c>
      <c r="AB17" s="2">
        <v>1026503.14139</v>
      </c>
      <c r="AC17" s="2">
        <v>12958484146.700001</v>
      </c>
    </row>
    <row r="18" spans="1:29" x14ac:dyDescent="0.25">
      <c r="A18" s="23">
        <v>1</v>
      </c>
      <c r="B18" s="23">
        <v>17</v>
      </c>
      <c r="C18" s="23">
        <v>43</v>
      </c>
      <c r="D18" s="2">
        <v>103.42</v>
      </c>
      <c r="E18" s="23" t="s">
        <v>62</v>
      </c>
      <c r="F18" s="23" t="s">
        <v>86</v>
      </c>
      <c r="G18" s="23" t="s">
        <v>87</v>
      </c>
      <c r="H18" s="23" t="s">
        <v>32</v>
      </c>
      <c r="I18" s="23" t="s">
        <v>88</v>
      </c>
      <c r="J18" s="2">
        <v>58371.719421900001</v>
      </c>
      <c r="K18" s="2">
        <v>103416342.053</v>
      </c>
      <c r="L18" s="23" t="s">
        <v>58</v>
      </c>
      <c r="M18" s="2">
        <v>6212599.72896</v>
      </c>
      <c r="P18" s="23" t="s">
        <v>37</v>
      </c>
      <c r="U18" s="3">
        <v>41071</v>
      </c>
      <c r="V18" s="23">
        <v>0</v>
      </c>
      <c r="W18" s="2">
        <v>3202146.97</v>
      </c>
      <c r="X18" s="2">
        <v>12958.64</v>
      </c>
      <c r="Y18" s="23" t="s">
        <v>38</v>
      </c>
      <c r="Z18" s="23" t="s">
        <v>39</v>
      </c>
      <c r="AA18" s="23" t="s">
        <v>40</v>
      </c>
      <c r="AB18" s="2">
        <v>1026503.14139</v>
      </c>
      <c r="AC18" s="2">
        <v>12958484146.700001</v>
      </c>
    </row>
    <row r="19" spans="1:29" x14ac:dyDescent="0.25">
      <c r="A19" s="23">
        <v>1</v>
      </c>
      <c r="B19" s="23">
        <v>18</v>
      </c>
      <c r="C19" s="23">
        <v>47</v>
      </c>
      <c r="D19" s="2">
        <v>147.85</v>
      </c>
      <c r="E19" s="23" t="s">
        <v>62</v>
      </c>
      <c r="F19" s="23" t="s">
        <v>89</v>
      </c>
      <c r="G19" s="23" t="s">
        <v>90</v>
      </c>
      <c r="H19" s="23" t="s">
        <v>32</v>
      </c>
      <c r="I19" s="23" t="s">
        <v>33</v>
      </c>
      <c r="J19" s="2">
        <v>80679.192452400006</v>
      </c>
      <c r="K19" s="2">
        <v>147838297.04300001</v>
      </c>
      <c r="L19" s="23" t="s">
        <v>58</v>
      </c>
      <c r="M19" s="2">
        <v>6212599.72896</v>
      </c>
      <c r="P19" s="23" t="s">
        <v>37</v>
      </c>
      <c r="U19" s="3">
        <v>41071</v>
      </c>
      <c r="V19" s="23">
        <v>0</v>
      </c>
      <c r="W19" s="2">
        <v>3202146.97</v>
      </c>
      <c r="X19" s="2">
        <v>12958.64</v>
      </c>
      <c r="Y19" s="23" t="s">
        <v>38</v>
      </c>
      <c r="Z19" s="23" t="s">
        <v>39</v>
      </c>
      <c r="AA19" s="23" t="s">
        <v>40</v>
      </c>
      <c r="AB19" s="2">
        <v>1026503.14139</v>
      </c>
      <c r="AC19" s="2">
        <v>12958484146.700001</v>
      </c>
    </row>
    <row r="20" spans="1:29" x14ac:dyDescent="0.25">
      <c r="A20" s="23">
        <v>1</v>
      </c>
      <c r="B20" s="23">
        <v>19</v>
      </c>
      <c r="C20" s="23">
        <v>60</v>
      </c>
      <c r="D20" s="2">
        <v>137.05000000000001</v>
      </c>
      <c r="E20" s="23" t="s">
        <v>62</v>
      </c>
      <c r="F20" s="23" t="s">
        <v>91</v>
      </c>
      <c r="G20" s="25" t="s">
        <v>92</v>
      </c>
      <c r="H20" s="23" t="s">
        <v>32</v>
      </c>
      <c r="I20" s="23" t="s">
        <v>33</v>
      </c>
      <c r="J20" s="2">
        <v>91948.256196400005</v>
      </c>
      <c r="K20" s="2">
        <v>137042768.553</v>
      </c>
      <c r="L20" s="23" t="s">
        <v>58</v>
      </c>
      <c r="M20" s="2">
        <v>6212599.72896</v>
      </c>
      <c r="P20" s="23" t="s">
        <v>37</v>
      </c>
      <c r="U20" s="3">
        <v>41071</v>
      </c>
      <c r="V20" s="23">
        <v>0</v>
      </c>
      <c r="W20" s="2">
        <v>3202146.97</v>
      </c>
      <c r="X20" s="2">
        <v>12958.64</v>
      </c>
      <c r="Y20" s="23" t="s">
        <v>38</v>
      </c>
      <c r="Z20" s="23" t="s">
        <v>39</v>
      </c>
      <c r="AA20" s="23" t="s">
        <v>40</v>
      </c>
      <c r="AB20" s="2">
        <v>1026503.14139</v>
      </c>
      <c r="AC20" s="2">
        <v>12958484146.700001</v>
      </c>
    </row>
    <row r="21" spans="1:29" x14ac:dyDescent="0.25">
      <c r="A21" s="23">
        <v>1</v>
      </c>
      <c r="B21" s="23">
        <v>21</v>
      </c>
      <c r="C21" s="23">
        <v>147</v>
      </c>
      <c r="D21" s="2">
        <v>45.19</v>
      </c>
      <c r="E21" s="23" t="s">
        <v>62</v>
      </c>
      <c r="F21" s="23" t="s">
        <v>96</v>
      </c>
      <c r="G21" s="23" t="s">
        <v>97</v>
      </c>
      <c r="H21" s="23" t="s">
        <v>32</v>
      </c>
      <c r="I21" s="23" t="s">
        <v>33</v>
      </c>
      <c r="J21" s="2">
        <v>41741.621070300003</v>
      </c>
      <c r="K21" s="2">
        <v>45189702.910800003</v>
      </c>
      <c r="L21" s="23" t="s">
        <v>58</v>
      </c>
      <c r="M21" s="2">
        <v>6212599.72896</v>
      </c>
      <c r="P21" s="23" t="s">
        <v>37</v>
      </c>
      <c r="U21" s="3">
        <v>41071</v>
      </c>
      <c r="V21" s="23">
        <v>0</v>
      </c>
      <c r="W21" s="2">
        <v>3202146.97</v>
      </c>
      <c r="X21" s="2">
        <v>12958.64</v>
      </c>
      <c r="Y21" s="23" t="s">
        <v>38</v>
      </c>
      <c r="Z21" s="23" t="s">
        <v>39</v>
      </c>
      <c r="AA21" s="23" t="s">
        <v>40</v>
      </c>
      <c r="AB21" s="2">
        <v>1026503.14139</v>
      </c>
      <c r="AC21" s="2">
        <v>12958484146.700001</v>
      </c>
    </row>
    <row r="22" spans="1:29" x14ac:dyDescent="0.25">
      <c r="A22" s="23">
        <v>1</v>
      </c>
      <c r="B22" s="23">
        <v>22</v>
      </c>
      <c r="C22" s="23">
        <v>148</v>
      </c>
      <c r="D22" s="2">
        <v>95.29</v>
      </c>
      <c r="E22" s="23" t="s">
        <v>62</v>
      </c>
      <c r="F22" s="23" t="s">
        <v>98</v>
      </c>
      <c r="G22" s="23" t="s">
        <v>99</v>
      </c>
      <c r="H22" s="23" t="s">
        <v>32</v>
      </c>
      <c r="I22" s="23" t="s">
        <v>33</v>
      </c>
      <c r="J22" s="2">
        <v>68622.723247600006</v>
      </c>
      <c r="K22" s="2">
        <v>95291847.6708</v>
      </c>
      <c r="L22" s="23" t="s">
        <v>58</v>
      </c>
      <c r="M22" s="2">
        <v>6212599.72896</v>
      </c>
      <c r="P22" s="23" t="s">
        <v>37</v>
      </c>
      <c r="U22" s="3">
        <v>41071</v>
      </c>
      <c r="V22" s="23">
        <v>0</v>
      </c>
      <c r="W22" s="2">
        <v>3202146.97</v>
      </c>
      <c r="X22" s="2">
        <v>12958.64</v>
      </c>
      <c r="Y22" s="23" t="s">
        <v>38</v>
      </c>
      <c r="Z22" s="23" t="s">
        <v>39</v>
      </c>
      <c r="AA22" s="23" t="s">
        <v>40</v>
      </c>
      <c r="AB22" s="2">
        <v>1026503.14139</v>
      </c>
      <c r="AC22" s="2">
        <v>12958484146.700001</v>
      </c>
    </row>
    <row r="23" spans="1:29" x14ac:dyDescent="0.25">
      <c r="A23" s="23">
        <v>1</v>
      </c>
      <c r="B23" s="23">
        <v>24</v>
      </c>
      <c r="C23" s="23">
        <v>233</v>
      </c>
      <c r="D23" s="2">
        <v>150.22999999999999</v>
      </c>
      <c r="E23" s="23" t="s">
        <v>62</v>
      </c>
      <c r="F23" s="23" t="s">
        <v>102</v>
      </c>
      <c r="G23" s="23" t="s">
        <v>103</v>
      </c>
      <c r="H23" s="23" t="s">
        <v>32</v>
      </c>
      <c r="I23" s="23" t="s">
        <v>104</v>
      </c>
      <c r="J23" s="2">
        <v>93405.573467299997</v>
      </c>
      <c r="K23" s="2">
        <v>150218944.961</v>
      </c>
      <c r="L23" s="23" t="s">
        <v>58</v>
      </c>
      <c r="M23" s="2">
        <v>6212599.72896</v>
      </c>
      <c r="P23" s="23" t="s">
        <v>37</v>
      </c>
      <c r="U23" s="3">
        <v>41071</v>
      </c>
      <c r="V23" s="23">
        <v>0</v>
      </c>
      <c r="W23" s="2">
        <v>3202146.97</v>
      </c>
      <c r="X23" s="2">
        <v>12958.64</v>
      </c>
      <c r="Y23" s="23" t="s">
        <v>38</v>
      </c>
      <c r="Z23" s="23" t="s">
        <v>39</v>
      </c>
      <c r="AA23" s="23" t="s">
        <v>40</v>
      </c>
      <c r="AB23" s="2">
        <v>1026503.14139</v>
      </c>
      <c r="AC23" s="2">
        <v>12958484146.700001</v>
      </c>
    </row>
    <row r="24" spans="1:29" x14ac:dyDescent="0.25">
      <c r="A24" s="23">
        <v>1</v>
      </c>
      <c r="B24" s="23">
        <v>33</v>
      </c>
      <c r="C24" s="23">
        <v>426</v>
      </c>
      <c r="D24" s="2">
        <v>64.94</v>
      </c>
      <c r="E24" s="23" t="s">
        <v>62</v>
      </c>
      <c r="F24" s="23" t="s">
        <v>123</v>
      </c>
      <c r="G24" s="23" t="s">
        <v>124</v>
      </c>
      <c r="H24" s="23" t="s">
        <v>32</v>
      </c>
      <c r="I24" s="23" t="s">
        <v>43</v>
      </c>
      <c r="J24" s="2">
        <v>47353.233040799998</v>
      </c>
      <c r="K24" s="2">
        <v>64935619.212700002</v>
      </c>
      <c r="L24" s="23" t="s">
        <v>58</v>
      </c>
      <c r="M24" s="2">
        <v>6212599.72896</v>
      </c>
      <c r="P24" s="23" t="s">
        <v>37</v>
      </c>
      <c r="U24" s="3">
        <v>41071</v>
      </c>
      <c r="V24" s="23">
        <v>0</v>
      </c>
      <c r="W24" s="2">
        <v>3202146.97</v>
      </c>
      <c r="X24" s="2">
        <v>12958.64</v>
      </c>
      <c r="Y24" s="23" t="s">
        <v>38</v>
      </c>
      <c r="Z24" s="23" t="s">
        <v>39</v>
      </c>
      <c r="AA24" s="23" t="s">
        <v>40</v>
      </c>
      <c r="AB24" s="2">
        <v>1026503.14139</v>
      </c>
      <c r="AC24" s="2">
        <v>12958484146.700001</v>
      </c>
    </row>
    <row r="25" spans="1:29" x14ac:dyDescent="0.25">
      <c r="A25" s="23">
        <v>1</v>
      </c>
      <c r="B25" s="23">
        <v>46</v>
      </c>
      <c r="C25" s="23">
        <v>622</v>
      </c>
      <c r="D25" s="2">
        <v>113.06</v>
      </c>
      <c r="E25" s="23" t="s">
        <v>62</v>
      </c>
      <c r="F25" s="23" t="s">
        <v>149</v>
      </c>
      <c r="G25" s="23" t="s">
        <v>150</v>
      </c>
      <c r="H25" s="23" t="s">
        <v>32</v>
      </c>
      <c r="I25" s="23" t="s">
        <v>43</v>
      </c>
      <c r="J25" s="2">
        <v>70479.064975600006</v>
      </c>
      <c r="K25" s="2">
        <v>113058052.936</v>
      </c>
      <c r="L25" s="23" t="s">
        <v>58</v>
      </c>
      <c r="M25" s="2">
        <v>6212599.72896</v>
      </c>
      <c r="P25" s="23" t="s">
        <v>37</v>
      </c>
      <c r="U25" s="3">
        <v>41071</v>
      </c>
      <c r="V25" s="23">
        <v>0</v>
      </c>
      <c r="W25" s="2">
        <v>3202146.97</v>
      </c>
      <c r="X25" s="2">
        <v>12958.64</v>
      </c>
      <c r="Y25" s="23" t="s">
        <v>38</v>
      </c>
      <c r="Z25" s="23" t="s">
        <v>39</v>
      </c>
      <c r="AA25" s="23" t="s">
        <v>40</v>
      </c>
      <c r="AB25" s="2">
        <v>1026503.14139</v>
      </c>
      <c r="AC25" s="2">
        <v>12958484146.700001</v>
      </c>
    </row>
    <row r="26" spans="1:29" x14ac:dyDescent="0.25">
      <c r="A26" s="23">
        <v>1</v>
      </c>
      <c r="B26" s="23">
        <v>48</v>
      </c>
      <c r="C26" s="23">
        <v>699</v>
      </c>
      <c r="D26" s="2">
        <v>119.5</v>
      </c>
      <c r="E26" s="23" t="s">
        <v>62</v>
      </c>
      <c r="F26" s="23" t="s">
        <v>157</v>
      </c>
      <c r="G26" s="23" t="s">
        <v>158</v>
      </c>
      <c r="H26" s="23" t="s">
        <v>32</v>
      </c>
      <c r="I26" s="23" t="s">
        <v>33</v>
      </c>
      <c r="J26" s="2">
        <v>75090.090400300003</v>
      </c>
      <c r="K26" s="2">
        <v>119494443.77599999</v>
      </c>
      <c r="L26" s="23" t="s">
        <v>58</v>
      </c>
      <c r="M26" s="2">
        <v>6212599.72896</v>
      </c>
      <c r="P26" s="23" t="s">
        <v>37</v>
      </c>
      <c r="U26" s="3">
        <v>41071</v>
      </c>
      <c r="V26" s="23">
        <v>0</v>
      </c>
      <c r="W26" s="2">
        <v>3202146.97</v>
      </c>
      <c r="X26" s="2">
        <v>12958.64</v>
      </c>
      <c r="Y26" s="23" t="s">
        <v>38</v>
      </c>
      <c r="Z26" s="23" t="s">
        <v>39</v>
      </c>
      <c r="AA26" s="23" t="s">
        <v>40</v>
      </c>
      <c r="AB26" s="2">
        <v>1026503.14139</v>
      </c>
      <c r="AC26" s="2">
        <v>12958484146.700001</v>
      </c>
    </row>
    <row r="27" spans="1:29" x14ac:dyDescent="0.25">
      <c r="A27" s="23">
        <v>1</v>
      </c>
      <c r="B27" s="23">
        <v>26</v>
      </c>
      <c r="C27" s="23">
        <v>245</v>
      </c>
      <c r="D27" s="2">
        <v>156.34</v>
      </c>
      <c r="E27" s="23" t="s">
        <v>55</v>
      </c>
      <c r="F27" s="23" t="s">
        <v>107</v>
      </c>
      <c r="G27" s="23" t="s">
        <v>108</v>
      </c>
      <c r="H27" s="23" t="s">
        <v>32</v>
      </c>
      <c r="I27" s="23" t="s">
        <v>33</v>
      </c>
      <c r="J27" s="2">
        <v>88926.189905499996</v>
      </c>
      <c r="K27" s="2">
        <v>156346047.18000001</v>
      </c>
      <c r="L27" s="23" t="s">
        <v>58</v>
      </c>
      <c r="M27" s="2">
        <v>6212599.72896</v>
      </c>
      <c r="P27" s="23" t="s">
        <v>37</v>
      </c>
      <c r="U27" s="3">
        <v>41071</v>
      </c>
      <c r="V27" s="23">
        <v>0</v>
      </c>
      <c r="W27" s="2">
        <v>3202146.97</v>
      </c>
      <c r="X27" s="2">
        <v>12958.64</v>
      </c>
      <c r="Y27" s="23" t="s">
        <v>38</v>
      </c>
      <c r="Z27" s="23" t="s">
        <v>39</v>
      </c>
      <c r="AA27" s="23" t="s">
        <v>40</v>
      </c>
      <c r="AB27" s="2">
        <v>1026503.14139</v>
      </c>
      <c r="AC27" s="2">
        <v>12958484146.700001</v>
      </c>
    </row>
    <row r="28" spans="1:29" x14ac:dyDescent="0.25">
      <c r="A28" s="23">
        <v>1</v>
      </c>
      <c r="B28" s="23">
        <v>42</v>
      </c>
      <c r="C28" s="23">
        <v>517</v>
      </c>
      <c r="D28" s="2">
        <v>121.46</v>
      </c>
      <c r="E28" s="23" t="s">
        <v>55</v>
      </c>
      <c r="F28" s="23" t="s">
        <v>141</v>
      </c>
      <c r="G28" s="23" t="s">
        <v>142</v>
      </c>
      <c r="H28" s="23" t="s">
        <v>32</v>
      </c>
      <c r="I28" s="23" t="s">
        <v>33</v>
      </c>
      <c r="J28" s="2">
        <v>74096.063609799996</v>
      </c>
      <c r="K28" s="2">
        <v>121456686.384</v>
      </c>
      <c r="L28" s="23" t="s">
        <v>58</v>
      </c>
      <c r="M28" s="2">
        <v>6212599.72896</v>
      </c>
      <c r="P28" s="23" t="s">
        <v>37</v>
      </c>
      <c r="U28" s="3">
        <v>41071</v>
      </c>
      <c r="V28" s="23">
        <v>0</v>
      </c>
      <c r="W28" s="2">
        <v>3202146.97</v>
      </c>
      <c r="X28" s="2">
        <v>12958.64</v>
      </c>
      <c r="Y28" s="23" t="s">
        <v>38</v>
      </c>
      <c r="Z28" s="23" t="s">
        <v>39</v>
      </c>
      <c r="AA28" s="23" t="s">
        <v>40</v>
      </c>
      <c r="AB28" s="2">
        <v>1026503.14139</v>
      </c>
      <c r="AC28" s="2">
        <v>12958484146.700001</v>
      </c>
    </row>
    <row r="29" spans="1:29" x14ac:dyDescent="0.25">
      <c r="A29" s="23">
        <v>1</v>
      </c>
      <c r="B29" s="23">
        <v>32</v>
      </c>
      <c r="C29" s="23">
        <v>369</v>
      </c>
      <c r="D29" s="2">
        <v>155.88999999999999</v>
      </c>
      <c r="E29" s="23" t="s">
        <v>62</v>
      </c>
      <c r="F29" s="23" t="s">
        <v>117</v>
      </c>
      <c r="G29" s="23" t="s">
        <v>118</v>
      </c>
      <c r="H29" s="23" t="s">
        <v>32</v>
      </c>
      <c r="I29" s="23" t="s">
        <v>43</v>
      </c>
      <c r="J29" s="2">
        <v>72294.577550899994</v>
      </c>
      <c r="K29" s="2">
        <v>155885427.63999999</v>
      </c>
      <c r="L29" s="23" t="s">
        <v>58</v>
      </c>
      <c r="M29" s="2">
        <v>6212599.72896</v>
      </c>
      <c r="P29" s="23" t="s">
        <v>119</v>
      </c>
      <c r="U29" s="3">
        <v>42577</v>
      </c>
      <c r="V29" s="23">
        <v>0</v>
      </c>
      <c r="W29" s="2">
        <v>4558182.21</v>
      </c>
      <c r="X29" s="2">
        <v>18446.330000000002</v>
      </c>
      <c r="Y29" s="23" t="s">
        <v>120</v>
      </c>
      <c r="Z29" s="23" t="s">
        <v>121</v>
      </c>
      <c r="AA29" s="23" t="s">
        <v>122</v>
      </c>
      <c r="AB29" s="2">
        <v>1210344.5806100001</v>
      </c>
      <c r="AC29" s="2">
        <v>18446375448.299999</v>
      </c>
    </row>
    <row r="30" spans="1:29" x14ac:dyDescent="0.25">
      <c r="A30" s="23">
        <v>1</v>
      </c>
      <c r="B30" s="23">
        <v>1</v>
      </c>
      <c r="C30" s="23">
        <v>53</v>
      </c>
      <c r="D30" s="2">
        <v>45.61</v>
      </c>
      <c r="E30" s="23" t="s">
        <v>29</v>
      </c>
      <c r="F30" s="23" t="s">
        <v>41</v>
      </c>
      <c r="G30" s="27" t="s">
        <v>42</v>
      </c>
      <c r="H30" s="23" t="s">
        <v>32</v>
      </c>
      <c r="I30" s="23" t="s">
        <v>43</v>
      </c>
      <c r="J30" s="2">
        <v>37040.666827699999</v>
      </c>
      <c r="K30" s="2">
        <v>45609406.658299997</v>
      </c>
      <c r="L30" s="23" t="s">
        <v>34</v>
      </c>
      <c r="M30" s="2">
        <v>4075494.1644199998</v>
      </c>
      <c r="N30" s="23" t="s">
        <v>35</v>
      </c>
      <c r="O30" s="23" t="s">
        <v>36</v>
      </c>
      <c r="P30" s="23" t="s">
        <v>44</v>
      </c>
      <c r="U30" s="3">
        <v>42553</v>
      </c>
      <c r="V30" s="23">
        <v>0</v>
      </c>
      <c r="W30" s="2">
        <v>2909905.89</v>
      </c>
      <c r="X30" s="2">
        <v>11775.98</v>
      </c>
      <c r="Y30" s="23" t="s">
        <v>45</v>
      </c>
      <c r="Z30" s="23" t="s">
        <v>46</v>
      </c>
      <c r="AA30" s="23" t="s">
        <v>47</v>
      </c>
      <c r="AB30" s="2">
        <v>1767585.5729799999</v>
      </c>
      <c r="AC30" s="2">
        <v>11776457312.799999</v>
      </c>
    </row>
    <row r="31" spans="1:29" x14ac:dyDescent="0.25">
      <c r="A31" s="23">
        <v>1</v>
      </c>
      <c r="B31" s="23">
        <v>2</v>
      </c>
      <c r="C31" s="23">
        <v>59</v>
      </c>
      <c r="D31" s="2">
        <v>87.87</v>
      </c>
      <c r="E31" s="23" t="s">
        <v>29</v>
      </c>
      <c r="F31" s="23" t="s">
        <v>48</v>
      </c>
      <c r="G31" s="23" t="s">
        <v>49</v>
      </c>
      <c r="H31" s="23" t="s">
        <v>32</v>
      </c>
      <c r="I31" s="23" t="s">
        <v>43</v>
      </c>
      <c r="J31" s="2">
        <v>61353.609534900002</v>
      </c>
      <c r="K31" s="2">
        <v>87863857.368200004</v>
      </c>
      <c r="L31" s="23" t="s">
        <v>34</v>
      </c>
      <c r="M31" s="2">
        <v>4075494.1644199998</v>
      </c>
      <c r="N31" s="23" t="s">
        <v>35</v>
      </c>
      <c r="O31" s="23" t="s">
        <v>36</v>
      </c>
      <c r="P31" s="23" t="s">
        <v>44</v>
      </c>
      <c r="U31" s="3">
        <v>42553</v>
      </c>
      <c r="V31" s="23">
        <v>0</v>
      </c>
      <c r="W31" s="2">
        <v>2909905.89</v>
      </c>
      <c r="X31" s="2">
        <v>11775.98</v>
      </c>
      <c r="Y31" s="23" t="s">
        <v>45</v>
      </c>
      <c r="Z31" s="23" t="s">
        <v>46</v>
      </c>
      <c r="AA31" s="23" t="s">
        <v>47</v>
      </c>
      <c r="AB31" s="2">
        <v>1767585.5729799999</v>
      </c>
      <c r="AC31" s="2">
        <v>11776457312.799999</v>
      </c>
    </row>
    <row r="32" spans="1:29" x14ac:dyDescent="0.25">
      <c r="A32" s="23">
        <v>1</v>
      </c>
      <c r="B32" s="23">
        <v>3</v>
      </c>
      <c r="C32" s="23">
        <v>114</v>
      </c>
      <c r="D32" s="2">
        <v>105.41</v>
      </c>
      <c r="E32" s="23" t="s">
        <v>29</v>
      </c>
      <c r="F32" s="23" t="s">
        <v>50</v>
      </c>
      <c r="G32" s="26" t="s">
        <v>51</v>
      </c>
      <c r="H32" s="23" t="s">
        <v>32</v>
      </c>
      <c r="I32" s="23" t="s">
        <v>52</v>
      </c>
      <c r="J32" s="2">
        <v>75184.029389200005</v>
      </c>
      <c r="K32" s="2">
        <v>105409291.183</v>
      </c>
      <c r="L32" s="23" t="s">
        <v>34</v>
      </c>
      <c r="M32" s="2">
        <v>4075494.1644199998</v>
      </c>
      <c r="N32" s="23" t="s">
        <v>35</v>
      </c>
      <c r="O32" s="23" t="s">
        <v>36</v>
      </c>
      <c r="P32" s="23" t="s">
        <v>44</v>
      </c>
      <c r="U32" s="3">
        <v>42553</v>
      </c>
      <c r="V32" s="23">
        <v>0</v>
      </c>
      <c r="W32" s="2">
        <v>2909905.89</v>
      </c>
      <c r="X32" s="2">
        <v>11775.98</v>
      </c>
      <c r="Y32" s="23" t="s">
        <v>45</v>
      </c>
      <c r="Z32" s="23" t="s">
        <v>46</v>
      </c>
      <c r="AA32" s="23" t="s">
        <v>47</v>
      </c>
      <c r="AB32" s="2">
        <v>1767585.5729799999</v>
      </c>
      <c r="AC32" s="2">
        <v>11776457312.799999</v>
      </c>
    </row>
    <row r="33" spans="1:29" x14ac:dyDescent="0.25">
      <c r="A33" s="23">
        <v>1</v>
      </c>
      <c r="B33" s="23">
        <v>7</v>
      </c>
      <c r="C33" s="23">
        <v>337</v>
      </c>
      <c r="D33" s="2">
        <v>157.6</v>
      </c>
      <c r="E33" s="23" t="s">
        <v>29</v>
      </c>
      <c r="F33" s="23" t="s">
        <v>65</v>
      </c>
      <c r="G33" s="25" t="s">
        <v>66</v>
      </c>
      <c r="H33" s="23" t="s">
        <v>32</v>
      </c>
      <c r="I33" s="23" t="s">
        <v>33</v>
      </c>
      <c r="J33" s="2">
        <v>115797.69463100001</v>
      </c>
      <c r="K33" s="2">
        <v>157608693.82600001</v>
      </c>
      <c r="L33" s="23" t="s">
        <v>34</v>
      </c>
      <c r="M33" s="2">
        <v>4075494.1644199998</v>
      </c>
      <c r="N33" s="23" t="s">
        <v>35</v>
      </c>
      <c r="O33" s="23" t="s">
        <v>35</v>
      </c>
      <c r="P33" s="23" t="s">
        <v>44</v>
      </c>
      <c r="U33" s="3">
        <v>42553</v>
      </c>
      <c r="V33" s="23">
        <v>0</v>
      </c>
      <c r="W33" s="2">
        <v>2909905.89</v>
      </c>
      <c r="X33" s="2">
        <v>11775.98</v>
      </c>
      <c r="Y33" s="23" t="s">
        <v>45</v>
      </c>
      <c r="Z33" s="23" t="s">
        <v>46</v>
      </c>
      <c r="AA33" s="23" t="s">
        <v>47</v>
      </c>
      <c r="AB33" s="2">
        <v>1767585.5729799999</v>
      </c>
      <c r="AC33" s="2">
        <v>11776457312.799999</v>
      </c>
    </row>
    <row r="34" spans="1:29" x14ac:dyDescent="0.25">
      <c r="A34" s="23">
        <v>1</v>
      </c>
      <c r="B34" s="23">
        <v>8</v>
      </c>
      <c r="C34" s="23">
        <v>338</v>
      </c>
      <c r="D34" s="2">
        <v>110.99</v>
      </c>
      <c r="E34" s="23" t="s">
        <v>29</v>
      </c>
      <c r="F34" s="23" t="s">
        <v>67</v>
      </c>
      <c r="G34" s="26" t="s">
        <v>68</v>
      </c>
      <c r="H34" s="23" t="s">
        <v>32</v>
      </c>
      <c r="I34" s="23" t="s">
        <v>43</v>
      </c>
      <c r="J34" s="2">
        <v>80672.957437999998</v>
      </c>
      <c r="K34" s="2">
        <v>110987817.646</v>
      </c>
      <c r="L34" s="23" t="s">
        <v>34</v>
      </c>
      <c r="M34" s="2">
        <v>4075494.1644199998</v>
      </c>
      <c r="N34" s="23" t="s">
        <v>35</v>
      </c>
      <c r="O34" s="23" t="s">
        <v>35</v>
      </c>
      <c r="P34" s="23" t="s">
        <v>44</v>
      </c>
      <c r="U34" s="3">
        <v>42553</v>
      </c>
      <c r="V34" s="23">
        <v>0</v>
      </c>
      <c r="W34" s="2">
        <v>2909905.89</v>
      </c>
      <c r="X34" s="2">
        <v>11775.98</v>
      </c>
      <c r="Y34" s="23" t="s">
        <v>45</v>
      </c>
      <c r="Z34" s="23" t="s">
        <v>46</v>
      </c>
      <c r="AA34" s="23" t="s">
        <v>47</v>
      </c>
      <c r="AB34" s="2">
        <v>1767585.5729799999</v>
      </c>
      <c r="AC34" s="2">
        <v>11776457312.799999</v>
      </c>
    </row>
    <row r="35" spans="1:29" x14ac:dyDescent="0.25">
      <c r="A35" s="23">
        <v>1</v>
      </c>
      <c r="B35" s="23">
        <v>9</v>
      </c>
      <c r="C35" s="23">
        <v>339</v>
      </c>
      <c r="D35" s="2">
        <v>41.35</v>
      </c>
      <c r="E35" s="23" t="s">
        <v>29</v>
      </c>
      <c r="F35" s="23" t="s">
        <v>69</v>
      </c>
      <c r="G35" s="25" t="s">
        <v>70</v>
      </c>
      <c r="H35" s="23" t="s">
        <v>32</v>
      </c>
      <c r="I35" s="23" t="s">
        <v>43</v>
      </c>
      <c r="J35" s="2">
        <v>50378.3159256</v>
      </c>
      <c r="K35" s="2">
        <v>41351948.147</v>
      </c>
      <c r="L35" s="23" t="s">
        <v>34</v>
      </c>
      <c r="M35" s="2">
        <v>4075494.1644199998</v>
      </c>
      <c r="N35" s="23" t="s">
        <v>35</v>
      </c>
      <c r="O35" s="23" t="s">
        <v>35</v>
      </c>
      <c r="P35" s="23" t="s">
        <v>44</v>
      </c>
      <c r="U35" s="3">
        <v>42553</v>
      </c>
      <c r="V35" s="23">
        <v>0</v>
      </c>
      <c r="W35" s="2">
        <v>2909905.89</v>
      </c>
      <c r="X35" s="2">
        <v>11775.98</v>
      </c>
      <c r="Y35" s="23" t="s">
        <v>45</v>
      </c>
      <c r="Z35" s="23" t="s">
        <v>46</v>
      </c>
      <c r="AA35" s="23" t="s">
        <v>47</v>
      </c>
      <c r="AB35" s="2">
        <v>1767585.5729799999</v>
      </c>
      <c r="AC35" s="2">
        <v>11776457312.799999</v>
      </c>
    </row>
    <row r="36" spans="1:29" x14ac:dyDescent="0.25">
      <c r="A36" s="23">
        <v>1</v>
      </c>
      <c r="B36" s="23">
        <v>10</v>
      </c>
      <c r="C36" s="23">
        <v>340</v>
      </c>
      <c r="D36" s="2">
        <v>43.42</v>
      </c>
      <c r="E36" s="23" t="s">
        <v>29</v>
      </c>
      <c r="F36" s="23" t="s">
        <v>71</v>
      </c>
      <c r="G36" s="23" t="s">
        <v>72</v>
      </c>
      <c r="H36" s="23" t="s">
        <v>32</v>
      </c>
      <c r="I36" s="23" t="s">
        <v>43</v>
      </c>
      <c r="J36" s="2">
        <v>39486.872384000002</v>
      </c>
      <c r="K36" s="2">
        <v>43416665.032600001</v>
      </c>
      <c r="L36" s="23" t="s">
        <v>34</v>
      </c>
      <c r="M36" s="2">
        <v>4075494.1644199998</v>
      </c>
      <c r="N36" s="23" t="s">
        <v>35</v>
      </c>
      <c r="O36" s="23" t="s">
        <v>35</v>
      </c>
      <c r="P36" s="23" t="s">
        <v>44</v>
      </c>
      <c r="U36" s="3">
        <v>42553</v>
      </c>
      <c r="V36" s="23">
        <v>0</v>
      </c>
      <c r="W36" s="2">
        <v>2909905.89</v>
      </c>
      <c r="X36" s="2">
        <v>11775.98</v>
      </c>
      <c r="Y36" s="23" t="s">
        <v>45</v>
      </c>
      <c r="Z36" s="23" t="s">
        <v>46</v>
      </c>
      <c r="AA36" s="23" t="s">
        <v>47</v>
      </c>
      <c r="AB36" s="2">
        <v>1767585.5729799999</v>
      </c>
      <c r="AC36" s="2">
        <v>11776457312.799999</v>
      </c>
    </row>
    <row r="37" spans="1:29" x14ac:dyDescent="0.25">
      <c r="A37" s="23">
        <v>1</v>
      </c>
      <c r="B37" s="23">
        <v>13</v>
      </c>
      <c r="C37" s="23">
        <v>425</v>
      </c>
      <c r="D37" s="2">
        <v>94.84</v>
      </c>
      <c r="E37" s="23" t="s">
        <v>29</v>
      </c>
      <c r="F37" s="23" t="s">
        <v>77</v>
      </c>
      <c r="G37" s="23" t="s">
        <v>78</v>
      </c>
      <c r="H37" s="23" t="s">
        <v>32</v>
      </c>
      <c r="I37" s="23" t="s">
        <v>33</v>
      </c>
      <c r="J37" s="2">
        <v>67695.710743699994</v>
      </c>
      <c r="K37" s="2">
        <v>94835213.384800002</v>
      </c>
      <c r="L37" s="23" t="s">
        <v>34</v>
      </c>
      <c r="M37" s="2">
        <v>4075494.1644199998</v>
      </c>
      <c r="N37" s="23" t="s">
        <v>35</v>
      </c>
      <c r="O37" s="23" t="s">
        <v>35</v>
      </c>
      <c r="P37" s="23" t="s">
        <v>44</v>
      </c>
      <c r="U37" s="3">
        <v>42553</v>
      </c>
      <c r="V37" s="23">
        <v>0</v>
      </c>
      <c r="W37" s="2">
        <v>2909905.89</v>
      </c>
      <c r="X37" s="2">
        <v>11775.98</v>
      </c>
      <c r="Y37" s="23" t="s">
        <v>45</v>
      </c>
      <c r="Z37" s="23" t="s">
        <v>46</v>
      </c>
      <c r="AA37" s="23" t="s">
        <v>47</v>
      </c>
      <c r="AB37" s="2">
        <v>1767585.5729799999</v>
      </c>
      <c r="AC37" s="2">
        <v>11776457312.799999</v>
      </c>
    </row>
    <row r="38" spans="1:29" x14ac:dyDescent="0.25">
      <c r="A38" s="23">
        <v>1</v>
      </c>
      <c r="B38" s="23">
        <v>15</v>
      </c>
      <c r="C38" s="23">
        <v>21</v>
      </c>
      <c r="D38" s="2">
        <v>155.35</v>
      </c>
      <c r="E38" s="23" t="s">
        <v>29</v>
      </c>
      <c r="F38" s="23" t="s">
        <v>81</v>
      </c>
      <c r="G38" s="23" t="s">
        <v>82</v>
      </c>
      <c r="H38" s="23" t="s">
        <v>32</v>
      </c>
      <c r="I38" s="23" t="s">
        <v>43</v>
      </c>
      <c r="J38" s="2">
        <v>82776.110620099993</v>
      </c>
      <c r="K38" s="2">
        <v>155352621.56600001</v>
      </c>
      <c r="L38" s="23" t="s">
        <v>34</v>
      </c>
      <c r="M38" s="2">
        <v>4075494.1644199998</v>
      </c>
      <c r="P38" s="23" t="s">
        <v>44</v>
      </c>
      <c r="U38" s="3">
        <v>42553</v>
      </c>
      <c r="V38" s="23">
        <v>0</v>
      </c>
      <c r="W38" s="2">
        <v>2909905.89</v>
      </c>
      <c r="X38" s="2">
        <v>11775.98</v>
      </c>
      <c r="Y38" s="23" t="s">
        <v>45</v>
      </c>
      <c r="Z38" s="23" t="s">
        <v>46</v>
      </c>
      <c r="AA38" s="23" t="s">
        <v>47</v>
      </c>
      <c r="AB38" s="2">
        <v>1767585.5729799999</v>
      </c>
      <c r="AC38" s="2">
        <v>11776457312.799999</v>
      </c>
    </row>
    <row r="39" spans="1:29" x14ac:dyDescent="0.25">
      <c r="A39" s="23">
        <v>1</v>
      </c>
      <c r="B39" s="23">
        <v>23</v>
      </c>
      <c r="C39" s="23">
        <v>208</v>
      </c>
      <c r="D39" s="2">
        <v>70.11</v>
      </c>
      <c r="E39" s="23" t="s">
        <v>29</v>
      </c>
      <c r="F39" s="23" t="s">
        <v>100</v>
      </c>
      <c r="G39" s="23" t="s">
        <v>101</v>
      </c>
      <c r="H39" s="23" t="s">
        <v>32</v>
      </c>
      <c r="I39" s="23" t="s">
        <v>43</v>
      </c>
      <c r="J39" s="2">
        <v>49093.291182599998</v>
      </c>
      <c r="K39" s="2">
        <v>70111579.366999999</v>
      </c>
      <c r="L39" s="23" t="s">
        <v>34</v>
      </c>
      <c r="M39" s="2">
        <v>4075494.1644199998</v>
      </c>
      <c r="P39" s="23" t="s">
        <v>44</v>
      </c>
      <c r="U39" s="3">
        <v>42553</v>
      </c>
      <c r="V39" s="23">
        <v>0</v>
      </c>
      <c r="W39" s="2">
        <v>2909905.89</v>
      </c>
      <c r="X39" s="2">
        <v>11775.98</v>
      </c>
      <c r="Y39" s="23" t="s">
        <v>45</v>
      </c>
      <c r="Z39" s="23" t="s">
        <v>46</v>
      </c>
      <c r="AA39" s="23" t="s">
        <v>47</v>
      </c>
      <c r="AB39" s="2">
        <v>1767585.5729799999</v>
      </c>
      <c r="AC39" s="2">
        <v>11776457312.799999</v>
      </c>
    </row>
    <row r="40" spans="1:29" x14ac:dyDescent="0.25">
      <c r="A40" s="23">
        <v>1</v>
      </c>
      <c r="B40" s="23">
        <v>45</v>
      </c>
      <c r="C40" s="23">
        <v>595</v>
      </c>
      <c r="D40" s="2">
        <v>111.11</v>
      </c>
      <c r="E40" s="23" t="s">
        <v>29</v>
      </c>
      <c r="F40" s="23" t="s">
        <v>147</v>
      </c>
      <c r="G40" s="25" t="s">
        <v>148</v>
      </c>
      <c r="H40" s="23" t="s">
        <v>32</v>
      </c>
      <c r="I40" s="23" t="s">
        <v>43</v>
      </c>
      <c r="J40" s="2">
        <v>67580.424454000007</v>
      </c>
      <c r="K40" s="2">
        <v>111105867.43799999</v>
      </c>
      <c r="L40" s="23" t="s">
        <v>34</v>
      </c>
      <c r="M40" s="2">
        <v>4075494.1644199998</v>
      </c>
      <c r="P40" s="23" t="s">
        <v>44</v>
      </c>
      <c r="U40" s="3">
        <v>42553</v>
      </c>
      <c r="V40" s="23">
        <v>0</v>
      </c>
      <c r="W40" s="2">
        <v>2909905.89</v>
      </c>
      <c r="X40" s="2">
        <v>11775.98</v>
      </c>
      <c r="Y40" s="23" t="s">
        <v>45</v>
      </c>
      <c r="Z40" s="23" t="s">
        <v>46</v>
      </c>
      <c r="AA40" s="23" t="s">
        <v>47</v>
      </c>
      <c r="AB40" s="2">
        <v>1767585.5729799999</v>
      </c>
      <c r="AC40" s="2">
        <v>11776457312.799999</v>
      </c>
    </row>
    <row r="41" spans="1:29" x14ac:dyDescent="0.25">
      <c r="A41" s="23">
        <v>1</v>
      </c>
      <c r="B41" s="23">
        <v>16</v>
      </c>
      <c r="C41" s="23">
        <v>22</v>
      </c>
      <c r="D41" s="2">
        <v>159.74</v>
      </c>
      <c r="E41" s="23" t="s">
        <v>83</v>
      </c>
      <c r="F41" s="23" t="s">
        <v>84</v>
      </c>
      <c r="G41" s="23" t="s">
        <v>85</v>
      </c>
      <c r="H41" s="23" t="s">
        <v>32</v>
      </c>
      <c r="I41" s="23" t="s">
        <v>43</v>
      </c>
      <c r="J41" s="2">
        <v>92067.642282800007</v>
      </c>
      <c r="K41" s="2">
        <v>159732110.63100001</v>
      </c>
      <c r="L41" s="23" t="s">
        <v>58</v>
      </c>
      <c r="M41" s="2">
        <v>6212599.72896</v>
      </c>
      <c r="P41" s="23" t="s">
        <v>44</v>
      </c>
      <c r="U41" s="3">
        <v>42553</v>
      </c>
      <c r="V41" s="23">
        <v>0</v>
      </c>
      <c r="W41" s="2">
        <v>2909905.89</v>
      </c>
      <c r="X41" s="2">
        <v>11775.98</v>
      </c>
      <c r="Y41" s="23" t="s">
        <v>45</v>
      </c>
      <c r="Z41" s="23" t="s">
        <v>46</v>
      </c>
      <c r="AA41" s="23" t="s">
        <v>47</v>
      </c>
      <c r="AB41" s="2">
        <v>1767585.5729799999</v>
      </c>
      <c r="AC41" s="2">
        <v>11776457312.799999</v>
      </c>
    </row>
    <row r="42" spans="1:29" x14ac:dyDescent="0.25">
      <c r="A42" s="23">
        <v>1</v>
      </c>
      <c r="B42" s="23">
        <v>25</v>
      </c>
      <c r="C42" s="23">
        <v>240</v>
      </c>
      <c r="D42" s="2">
        <v>107.16</v>
      </c>
      <c r="E42" s="23" t="s">
        <v>83</v>
      </c>
      <c r="F42" s="23" t="s">
        <v>105</v>
      </c>
      <c r="G42" s="23" t="s">
        <v>106</v>
      </c>
      <c r="H42" s="23" t="s">
        <v>32</v>
      </c>
      <c r="I42" s="23" t="s">
        <v>43</v>
      </c>
      <c r="J42" s="2">
        <v>67164.674301899999</v>
      </c>
      <c r="K42" s="2">
        <v>107151238.272</v>
      </c>
      <c r="L42" s="23" t="s">
        <v>58</v>
      </c>
      <c r="M42" s="2">
        <v>6212599.72896</v>
      </c>
      <c r="P42" s="23" t="s">
        <v>44</v>
      </c>
      <c r="U42" s="3">
        <v>42553</v>
      </c>
      <c r="V42" s="23">
        <v>0</v>
      </c>
      <c r="W42" s="2">
        <v>2909905.89</v>
      </c>
      <c r="X42" s="2">
        <v>11775.98</v>
      </c>
      <c r="Y42" s="23" t="s">
        <v>45</v>
      </c>
      <c r="Z42" s="23" t="s">
        <v>46</v>
      </c>
      <c r="AA42" s="23" t="s">
        <v>47</v>
      </c>
      <c r="AB42" s="2">
        <v>1767585.5729799999</v>
      </c>
      <c r="AC42" s="2">
        <v>11776457312.799999</v>
      </c>
    </row>
    <row r="43" spans="1:29" x14ac:dyDescent="0.25">
      <c r="A43" s="23">
        <v>1</v>
      </c>
      <c r="B43" s="23">
        <v>28</v>
      </c>
      <c r="C43" s="23">
        <v>304</v>
      </c>
      <c r="D43" s="2">
        <v>70.180000000000007</v>
      </c>
      <c r="E43" s="23" t="s">
        <v>83</v>
      </c>
      <c r="F43" s="23" t="s">
        <v>111</v>
      </c>
      <c r="G43" s="23" t="s">
        <v>112</v>
      </c>
      <c r="H43" s="23" t="s">
        <v>32</v>
      </c>
      <c r="I43" s="23" t="s">
        <v>43</v>
      </c>
      <c r="J43" s="2">
        <v>65191.989415600001</v>
      </c>
      <c r="K43" s="2">
        <v>70171782.943000004</v>
      </c>
      <c r="L43" s="23" t="s">
        <v>34</v>
      </c>
      <c r="M43" s="2">
        <v>4075494.1644199998</v>
      </c>
      <c r="P43" s="23" t="s">
        <v>44</v>
      </c>
      <c r="U43" s="3">
        <v>42553</v>
      </c>
      <c r="V43" s="23">
        <v>0</v>
      </c>
      <c r="W43" s="2">
        <v>2909905.89</v>
      </c>
      <c r="X43" s="2">
        <v>11775.98</v>
      </c>
      <c r="Y43" s="23" t="s">
        <v>45</v>
      </c>
      <c r="Z43" s="23" t="s">
        <v>46</v>
      </c>
      <c r="AA43" s="23" t="s">
        <v>47</v>
      </c>
      <c r="AB43" s="2">
        <v>1767585.5729799999</v>
      </c>
      <c r="AC43" s="2">
        <v>11776457312.799999</v>
      </c>
    </row>
    <row r="44" spans="1:29" x14ac:dyDescent="0.25">
      <c r="A44" s="23">
        <v>1</v>
      </c>
      <c r="B44" s="23">
        <v>29</v>
      </c>
      <c r="C44" s="23">
        <v>317</v>
      </c>
      <c r="D44" s="2">
        <v>48.96</v>
      </c>
      <c r="E44" s="23" t="s">
        <v>83</v>
      </c>
      <c r="F44" s="23" t="s">
        <v>113</v>
      </c>
      <c r="G44" s="23" t="s">
        <v>114</v>
      </c>
      <c r="H44" s="23" t="s">
        <v>32</v>
      </c>
      <c r="I44" s="23" t="s">
        <v>43</v>
      </c>
      <c r="J44" s="2">
        <v>42191.161306200003</v>
      </c>
      <c r="K44" s="2">
        <v>48960187.586900003</v>
      </c>
      <c r="L44" s="23" t="s">
        <v>58</v>
      </c>
      <c r="M44" s="2">
        <v>6212599.72896</v>
      </c>
      <c r="P44" s="23" t="s">
        <v>44</v>
      </c>
      <c r="U44" s="3">
        <v>42553</v>
      </c>
      <c r="V44" s="23">
        <v>0</v>
      </c>
      <c r="W44" s="2">
        <v>2909905.89</v>
      </c>
      <c r="X44" s="2">
        <v>11775.98</v>
      </c>
      <c r="Y44" s="23" t="s">
        <v>45</v>
      </c>
      <c r="Z44" s="23" t="s">
        <v>46</v>
      </c>
      <c r="AA44" s="23" t="s">
        <v>47</v>
      </c>
      <c r="AB44" s="2">
        <v>1767585.5729799999</v>
      </c>
      <c r="AC44" s="2">
        <v>11776457312.799999</v>
      </c>
    </row>
    <row r="45" spans="1:29" x14ac:dyDescent="0.25">
      <c r="A45" s="23">
        <v>1</v>
      </c>
      <c r="B45" s="23">
        <v>30</v>
      </c>
      <c r="C45" s="23">
        <v>317</v>
      </c>
      <c r="D45" s="2">
        <v>48.96</v>
      </c>
      <c r="E45" s="23" t="s">
        <v>83</v>
      </c>
      <c r="F45" s="23" t="s">
        <v>113</v>
      </c>
      <c r="G45" s="23" t="s">
        <v>114</v>
      </c>
      <c r="H45" s="23" t="s">
        <v>32</v>
      </c>
      <c r="I45" s="23" t="s">
        <v>43</v>
      </c>
      <c r="J45" s="2">
        <v>42191.161306200003</v>
      </c>
      <c r="K45" s="2">
        <v>48960187.586900003</v>
      </c>
      <c r="L45" s="23" t="s">
        <v>34</v>
      </c>
      <c r="M45" s="2">
        <v>4075494.1644199998</v>
      </c>
      <c r="P45" s="23" t="s">
        <v>44</v>
      </c>
      <c r="U45" s="3">
        <v>42553</v>
      </c>
      <c r="V45" s="23">
        <v>0</v>
      </c>
      <c r="W45" s="2">
        <v>2909905.89</v>
      </c>
      <c r="X45" s="2">
        <v>11775.98</v>
      </c>
      <c r="Y45" s="23" t="s">
        <v>45</v>
      </c>
      <c r="Z45" s="23" t="s">
        <v>46</v>
      </c>
      <c r="AA45" s="23" t="s">
        <v>47</v>
      </c>
      <c r="AB45" s="2">
        <v>1767585.5729799999</v>
      </c>
      <c r="AC45" s="2">
        <v>11776457312.799999</v>
      </c>
    </row>
    <row r="46" spans="1:29" x14ac:dyDescent="0.25">
      <c r="A46" s="23">
        <v>1</v>
      </c>
      <c r="B46" s="23">
        <v>50</v>
      </c>
      <c r="C46" s="23">
        <v>713</v>
      </c>
      <c r="D46" s="2">
        <v>102.01</v>
      </c>
      <c r="E46" s="23" t="s">
        <v>83</v>
      </c>
      <c r="F46" s="23" t="s">
        <v>161</v>
      </c>
      <c r="G46" s="23" t="s">
        <v>162</v>
      </c>
      <c r="H46" s="23" t="s">
        <v>32</v>
      </c>
      <c r="I46" s="23" t="s">
        <v>43</v>
      </c>
      <c r="J46" s="2">
        <v>77197.7960877</v>
      </c>
      <c r="K46" s="2">
        <v>102001473.346</v>
      </c>
      <c r="L46" s="23" t="s">
        <v>58</v>
      </c>
      <c r="M46" s="2">
        <v>6212599.72896</v>
      </c>
      <c r="P46" s="23" t="s">
        <v>44</v>
      </c>
      <c r="U46" s="3">
        <v>42553</v>
      </c>
      <c r="V46" s="23">
        <v>0</v>
      </c>
      <c r="W46" s="2">
        <v>2909905.89</v>
      </c>
      <c r="X46" s="2">
        <v>11775.98</v>
      </c>
      <c r="Y46" s="23" t="s">
        <v>45</v>
      </c>
      <c r="Z46" s="23" t="s">
        <v>46</v>
      </c>
      <c r="AA46" s="23" t="s">
        <v>47</v>
      </c>
      <c r="AB46" s="2">
        <v>1767585.5729799999</v>
      </c>
      <c r="AC46" s="2">
        <v>11776457312.799999</v>
      </c>
    </row>
    <row r="47" spans="1:29" x14ac:dyDescent="0.25">
      <c r="A47" s="23">
        <v>1</v>
      </c>
      <c r="B47" s="23">
        <v>51</v>
      </c>
      <c r="C47" s="23">
        <v>713</v>
      </c>
      <c r="D47" s="2">
        <v>102.01</v>
      </c>
      <c r="E47" s="23" t="s">
        <v>83</v>
      </c>
      <c r="F47" s="23" t="s">
        <v>161</v>
      </c>
      <c r="G47" s="23" t="s">
        <v>162</v>
      </c>
      <c r="H47" s="23" t="s">
        <v>32</v>
      </c>
      <c r="I47" s="23" t="s">
        <v>43</v>
      </c>
      <c r="J47" s="2">
        <v>77197.7960877</v>
      </c>
      <c r="K47" s="2">
        <v>102001473.346</v>
      </c>
      <c r="L47" s="23" t="s">
        <v>34</v>
      </c>
      <c r="M47" s="2">
        <v>4075494.1644199998</v>
      </c>
      <c r="P47" s="23" t="s">
        <v>44</v>
      </c>
      <c r="U47" s="3">
        <v>42553</v>
      </c>
      <c r="V47" s="23">
        <v>0</v>
      </c>
      <c r="W47" s="2">
        <v>2909905.89</v>
      </c>
      <c r="X47" s="2">
        <v>11775.98</v>
      </c>
      <c r="Y47" s="23" t="s">
        <v>45</v>
      </c>
      <c r="Z47" s="23" t="s">
        <v>46</v>
      </c>
      <c r="AA47" s="23" t="s">
        <v>47</v>
      </c>
      <c r="AB47" s="2">
        <v>1767585.5729799999</v>
      </c>
      <c r="AC47" s="2">
        <v>11776457312.799999</v>
      </c>
    </row>
    <row r="48" spans="1:29" x14ac:dyDescent="0.25">
      <c r="A48" s="23">
        <v>1</v>
      </c>
      <c r="B48" s="23">
        <v>20</v>
      </c>
      <c r="C48" s="23">
        <v>115</v>
      </c>
      <c r="D48" s="2">
        <v>129.79</v>
      </c>
      <c r="E48" s="23" t="s">
        <v>93</v>
      </c>
      <c r="F48" s="23" t="s">
        <v>94</v>
      </c>
      <c r="G48" s="23" t="s">
        <v>95</v>
      </c>
      <c r="H48" s="23" t="s">
        <v>32</v>
      </c>
      <c r="I48" s="23" t="s">
        <v>43</v>
      </c>
      <c r="J48" s="2">
        <v>82823.289160200002</v>
      </c>
      <c r="K48" s="2">
        <v>129783732.727</v>
      </c>
      <c r="L48" s="23" t="s">
        <v>58</v>
      </c>
      <c r="M48" s="2">
        <v>6212599.72896</v>
      </c>
      <c r="P48" s="23" t="s">
        <v>44</v>
      </c>
      <c r="U48" s="3">
        <v>42553</v>
      </c>
      <c r="V48" s="23">
        <v>0</v>
      </c>
      <c r="W48" s="2">
        <v>2909905.89</v>
      </c>
      <c r="X48" s="2">
        <v>11775.98</v>
      </c>
      <c r="Y48" s="23" t="s">
        <v>45</v>
      </c>
      <c r="Z48" s="23" t="s">
        <v>46</v>
      </c>
      <c r="AA48" s="23" t="s">
        <v>47</v>
      </c>
      <c r="AB48" s="2">
        <v>1767585.5729799999</v>
      </c>
      <c r="AC48" s="2">
        <v>11776457312.799999</v>
      </c>
    </row>
    <row r="49" spans="1:29" x14ac:dyDescent="0.25">
      <c r="A49" s="23">
        <v>1</v>
      </c>
      <c r="B49" s="23">
        <v>35</v>
      </c>
      <c r="C49" s="23">
        <v>483</v>
      </c>
      <c r="D49" s="2">
        <v>98.47</v>
      </c>
      <c r="E49" s="23" t="s">
        <v>93</v>
      </c>
      <c r="F49" s="23" t="s">
        <v>128</v>
      </c>
      <c r="G49" s="23" t="s">
        <v>129</v>
      </c>
      <c r="H49" s="23" t="s">
        <v>32</v>
      </c>
      <c r="I49" s="23" t="s">
        <v>43</v>
      </c>
      <c r="J49" s="2">
        <v>58250.126061499999</v>
      </c>
      <c r="K49" s="2">
        <v>98463210.792300001</v>
      </c>
      <c r="L49" s="23" t="s">
        <v>34</v>
      </c>
      <c r="M49" s="2">
        <v>4075494.1644199998</v>
      </c>
      <c r="P49" s="23" t="s">
        <v>44</v>
      </c>
      <c r="U49" s="3">
        <v>42553</v>
      </c>
      <c r="V49" s="23">
        <v>0</v>
      </c>
      <c r="W49" s="2">
        <v>2909905.89</v>
      </c>
      <c r="X49" s="2">
        <v>11775.98</v>
      </c>
      <c r="Y49" s="23" t="s">
        <v>45</v>
      </c>
      <c r="Z49" s="23" t="s">
        <v>46</v>
      </c>
      <c r="AA49" s="23" t="s">
        <v>47</v>
      </c>
      <c r="AB49" s="2">
        <v>1767585.5729799999</v>
      </c>
      <c r="AC49" s="2">
        <v>11776457312.799999</v>
      </c>
    </row>
    <row r="50" spans="1:29" x14ac:dyDescent="0.25">
      <c r="A50" s="23">
        <v>1</v>
      </c>
      <c r="B50" s="23">
        <v>34</v>
      </c>
      <c r="C50" s="23">
        <v>482</v>
      </c>
      <c r="D50" s="2">
        <v>78.66</v>
      </c>
      <c r="E50" s="23" t="s">
        <v>125</v>
      </c>
      <c r="F50" s="23" t="s">
        <v>126</v>
      </c>
      <c r="G50" s="23" t="s">
        <v>127</v>
      </c>
      <c r="H50" s="23" t="s">
        <v>32</v>
      </c>
      <c r="I50" s="23" t="s">
        <v>43</v>
      </c>
      <c r="J50" s="2">
        <v>73063.792414099997</v>
      </c>
      <c r="K50" s="2">
        <v>78653185.880999997</v>
      </c>
      <c r="L50" s="23" t="s">
        <v>34</v>
      </c>
      <c r="M50" s="2">
        <v>4075494.1644199998</v>
      </c>
      <c r="P50" s="23" t="s">
        <v>44</v>
      </c>
      <c r="U50" s="3">
        <v>42553</v>
      </c>
      <c r="V50" s="23">
        <v>0</v>
      </c>
      <c r="W50" s="2">
        <v>2909905.89</v>
      </c>
      <c r="X50" s="2">
        <v>11775.98</v>
      </c>
      <c r="Y50" s="23" t="s">
        <v>45</v>
      </c>
      <c r="Z50" s="23" t="s">
        <v>46</v>
      </c>
      <c r="AA50" s="23" t="s">
        <v>47</v>
      </c>
      <c r="AB50" s="2">
        <v>1767585.5729799999</v>
      </c>
      <c r="AC50" s="2">
        <v>11776457312.799999</v>
      </c>
    </row>
    <row r="51" spans="1:29" x14ac:dyDescent="0.25">
      <c r="A51" s="23">
        <v>1</v>
      </c>
      <c r="B51" s="23">
        <v>36</v>
      </c>
      <c r="C51" s="23">
        <v>484</v>
      </c>
      <c r="D51" s="2">
        <v>137.84</v>
      </c>
      <c r="E51" s="23" t="s">
        <v>130</v>
      </c>
      <c r="F51" s="23" t="s">
        <v>131</v>
      </c>
      <c r="G51" s="23" t="s">
        <v>132</v>
      </c>
      <c r="H51" s="23" t="s">
        <v>32</v>
      </c>
      <c r="I51" s="23" t="s">
        <v>43</v>
      </c>
      <c r="J51" s="2">
        <v>73321.969031100001</v>
      </c>
      <c r="K51" s="2">
        <v>137830786.572</v>
      </c>
      <c r="L51" s="23" t="s">
        <v>58</v>
      </c>
      <c r="M51" s="2">
        <v>6212599.72896</v>
      </c>
      <c r="P51" s="23" t="s">
        <v>44</v>
      </c>
      <c r="U51" s="3">
        <v>42553</v>
      </c>
      <c r="V51" s="23">
        <v>0</v>
      </c>
      <c r="W51" s="2">
        <v>2909905.89</v>
      </c>
      <c r="X51" s="2">
        <v>11775.98</v>
      </c>
      <c r="Y51" s="23" t="s">
        <v>45</v>
      </c>
      <c r="Z51" s="23" t="s">
        <v>46</v>
      </c>
      <c r="AA51" s="23" t="s">
        <v>47</v>
      </c>
      <c r="AB51" s="2">
        <v>1767585.5729799999</v>
      </c>
      <c r="AC51" s="2">
        <v>11776457312.799999</v>
      </c>
    </row>
    <row r="52" spans="1:29" x14ac:dyDescent="0.25">
      <c r="A52" s="23">
        <v>1</v>
      </c>
      <c r="B52" s="23">
        <v>37</v>
      </c>
      <c r="C52" s="23">
        <v>485</v>
      </c>
      <c r="D52" s="2">
        <v>114.39</v>
      </c>
      <c r="E52" s="23" t="s">
        <v>130</v>
      </c>
      <c r="F52" s="23" t="s">
        <v>133</v>
      </c>
      <c r="G52" s="25" t="s">
        <v>134</v>
      </c>
      <c r="H52" s="23" t="s">
        <v>32</v>
      </c>
      <c r="I52" s="23" t="s">
        <v>43</v>
      </c>
      <c r="J52" s="2">
        <v>76688.461552299996</v>
      </c>
      <c r="K52" s="2">
        <v>114381357.501</v>
      </c>
      <c r="L52" s="23" t="s">
        <v>58</v>
      </c>
      <c r="M52" s="2">
        <v>6212599.72896</v>
      </c>
      <c r="P52" s="23" t="s">
        <v>44</v>
      </c>
      <c r="U52" s="3">
        <v>42553</v>
      </c>
      <c r="V52" s="23">
        <v>0</v>
      </c>
      <c r="W52" s="2">
        <v>2909905.89</v>
      </c>
      <c r="X52" s="2">
        <v>11775.98</v>
      </c>
      <c r="Y52" s="23" t="s">
        <v>45</v>
      </c>
      <c r="Z52" s="23" t="s">
        <v>46</v>
      </c>
      <c r="AA52" s="23" t="s">
        <v>47</v>
      </c>
      <c r="AB52" s="2">
        <v>1767585.5729799999</v>
      </c>
      <c r="AC52" s="2">
        <v>11776457312.799999</v>
      </c>
    </row>
    <row r="53" spans="1:29" x14ac:dyDescent="0.25">
      <c r="A53" s="23">
        <v>1</v>
      </c>
      <c r="B53" s="23">
        <v>47</v>
      </c>
      <c r="C53" s="23">
        <v>686</v>
      </c>
      <c r="D53" s="2">
        <v>102.25</v>
      </c>
      <c r="E53" s="23" t="s">
        <v>130</v>
      </c>
      <c r="F53" s="23" t="s">
        <v>151</v>
      </c>
      <c r="G53" s="23" t="s">
        <v>152</v>
      </c>
      <c r="H53" s="23" t="s">
        <v>32</v>
      </c>
      <c r="I53" s="23" t="s">
        <v>33</v>
      </c>
      <c r="J53" s="2">
        <v>71265.584701700005</v>
      </c>
      <c r="K53" s="2">
        <v>102238160.007</v>
      </c>
      <c r="L53" s="23" t="s">
        <v>58</v>
      </c>
      <c r="M53" s="2">
        <v>6212599.72896</v>
      </c>
      <c r="P53" s="23" t="s">
        <v>153</v>
      </c>
      <c r="U53" s="3">
        <v>42553</v>
      </c>
      <c r="V53" s="23">
        <v>0</v>
      </c>
      <c r="W53" s="2">
        <v>8105582.3300000001</v>
      </c>
      <c r="X53" s="2">
        <v>32802.160000000003</v>
      </c>
      <c r="Y53" s="23" t="s">
        <v>154</v>
      </c>
      <c r="Z53" s="23" t="s">
        <v>155</v>
      </c>
      <c r="AA53" s="23" t="s">
        <v>156</v>
      </c>
      <c r="AB53" s="2">
        <v>1789318.3534200001</v>
      </c>
      <c r="AC53" s="2">
        <v>32807978886.700001</v>
      </c>
    </row>
    <row r="56" spans="1:29" ht="18.600000000000001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06B6-37FC-432C-8F40-50941B661CDB}">
  <dimension ref="A1:F53"/>
  <sheetViews>
    <sheetView workbookViewId="0">
      <selection activeCell="B1" sqref="B1:E1048576"/>
    </sheetView>
  </sheetViews>
  <sheetFormatPr defaultColWidth="8.7109375" defaultRowHeight="15" x14ac:dyDescent="0.25"/>
  <cols>
    <col min="1" max="1" width="2.85546875" style="22" bestFit="1" customWidth="1"/>
    <col min="2" max="2" width="12.85546875" style="22" bestFit="1" customWidth="1"/>
    <col min="3" max="3" width="33.42578125" style="22" bestFit="1" customWidth="1"/>
    <col min="4" max="4" width="12.85546875" style="23" bestFit="1" customWidth="1"/>
    <col min="5" max="5" width="33.42578125" style="23" bestFit="1" customWidth="1"/>
    <col min="6" max="16384" width="8.7109375" style="22"/>
  </cols>
  <sheetData>
    <row r="1" spans="1:6" x14ac:dyDescent="0.25">
      <c r="A1" s="22" t="s">
        <v>164</v>
      </c>
      <c r="B1" s="23" t="s">
        <v>5</v>
      </c>
      <c r="C1" s="23" t="s">
        <v>6</v>
      </c>
      <c r="D1" s="23" t="s">
        <v>5</v>
      </c>
      <c r="E1" s="23" t="s">
        <v>6</v>
      </c>
      <c r="F1" s="23" t="s">
        <v>212</v>
      </c>
    </row>
    <row r="2" spans="1:6" x14ac:dyDescent="0.25">
      <c r="A2" s="22">
        <v>1</v>
      </c>
      <c r="B2" s="23" t="s">
        <v>30</v>
      </c>
      <c r="C2" s="23" t="s">
        <v>31</v>
      </c>
      <c r="D2" s="23" t="s">
        <v>30</v>
      </c>
      <c r="E2" s="23" t="s">
        <v>31</v>
      </c>
      <c r="F2" s="22">
        <v>1</v>
      </c>
    </row>
    <row r="3" spans="1:6" x14ac:dyDescent="0.25">
      <c r="A3" s="22">
        <v>2</v>
      </c>
      <c r="B3" s="23" t="s">
        <v>41</v>
      </c>
      <c r="C3" s="23" t="s">
        <v>42</v>
      </c>
      <c r="D3" s="23" t="s">
        <v>41</v>
      </c>
      <c r="E3" s="27" t="s">
        <v>42</v>
      </c>
      <c r="F3" s="22">
        <v>1</v>
      </c>
    </row>
    <row r="4" spans="1:6" x14ac:dyDescent="0.25">
      <c r="A4" s="22">
        <v>3</v>
      </c>
      <c r="B4" s="23" t="s">
        <v>48</v>
      </c>
      <c r="C4" s="23" t="s">
        <v>49</v>
      </c>
      <c r="D4" s="23" t="s">
        <v>48</v>
      </c>
      <c r="E4" s="23" t="s">
        <v>49</v>
      </c>
      <c r="F4" s="22">
        <v>1</v>
      </c>
    </row>
    <row r="5" spans="1:6" x14ac:dyDescent="0.25">
      <c r="A5" s="22">
        <v>4</v>
      </c>
      <c r="B5" s="23" t="s">
        <v>50</v>
      </c>
      <c r="C5" s="23" t="s">
        <v>51</v>
      </c>
      <c r="D5" s="23" t="s">
        <v>50</v>
      </c>
      <c r="E5" s="26" t="s">
        <v>51</v>
      </c>
      <c r="F5" s="22">
        <v>1</v>
      </c>
    </row>
    <row r="6" spans="1:6" x14ac:dyDescent="0.25">
      <c r="A6" s="22">
        <v>5</v>
      </c>
      <c r="B6" s="23" t="s">
        <v>53</v>
      </c>
      <c r="C6" s="23" t="s">
        <v>54</v>
      </c>
      <c r="D6" s="23" t="s">
        <v>53</v>
      </c>
      <c r="E6" s="23" t="s">
        <v>54</v>
      </c>
      <c r="F6" s="22">
        <v>1</v>
      </c>
    </row>
    <row r="7" spans="1:6" x14ac:dyDescent="0.25">
      <c r="A7" s="22">
        <v>6</v>
      </c>
      <c r="B7" s="23" t="s">
        <v>56</v>
      </c>
      <c r="C7" s="23" t="s">
        <v>57</v>
      </c>
      <c r="D7" s="23" t="s">
        <v>56</v>
      </c>
      <c r="E7" s="26" t="s">
        <v>57</v>
      </c>
      <c r="F7" s="22">
        <v>1</v>
      </c>
    </row>
    <row r="8" spans="1:6" x14ac:dyDescent="0.25">
      <c r="A8" s="22">
        <v>7</v>
      </c>
      <c r="B8" s="23" t="s">
        <v>63</v>
      </c>
      <c r="C8" s="23" t="s">
        <v>64</v>
      </c>
      <c r="D8" s="23" t="s">
        <v>63</v>
      </c>
      <c r="E8" s="23" t="s">
        <v>64</v>
      </c>
      <c r="F8" s="22">
        <v>1</v>
      </c>
    </row>
    <row r="9" spans="1:6" x14ac:dyDescent="0.25">
      <c r="A9" s="22">
        <v>8</v>
      </c>
      <c r="B9" s="23" t="s">
        <v>65</v>
      </c>
      <c r="C9" s="23" t="s">
        <v>66</v>
      </c>
      <c r="D9" s="23" t="s">
        <v>65</v>
      </c>
      <c r="E9" s="25" t="s">
        <v>66</v>
      </c>
      <c r="F9" s="22">
        <v>1</v>
      </c>
    </row>
    <row r="10" spans="1:6" x14ac:dyDescent="0.25">
      <c r="A10" s="22">
        <v>9</v>
      </c>
      <c r="B10" s="23" t="s">
        <v>67</v>
      </c>
      <c r="C10" s="23" t="s">
        <v>68</v>
      </c>
      <c r="D10" s="23" t="s">
        <v>67</v>
      </c>
      <c r="E10" s="26" t="s">
        <v>68</v>
      </c>
      <c r="F10" s="22">
        <v>1</v>
      </c>
    </row>
    <row r="11" spans="1:6" x14ac:dyDescent="0.25">
      <c r="A11" s="22">
        <v>10</v>
      </c>
      <c r="B11" s="23" t="s">
        <v>69</v>
      </c>
      <c r="C11" s="23" t="s">
        <v>70</v>
      </c>
      <c r="D11" s="23" t="s">
        <v>69</v>
      </c>
      <c r="E11" s="25" t="s">
        <v>70</v>
      </c>
      <c r="F11" s="22">
        <v>1</v>
      </c>
    </row>
    <row r="12" spans="1:6" x14ac:dyDescent="0.25">
      <c r="A12" s="22">
        <v>11</v>
      </c>
      <c r="B12" s="23" t="s">
        <v>71</v>
      </c>
      <c r="C12" s="23" t="s">
        <v>72</v>
      </c>
      <c r="D12" s="23" t="s">
        <v>71</v>
      </c>
      <c r="E12" s="23" t="s">
        <v>72</v>
      </c>
      <c r="F12" s="22">
        <v>1</v>
      </c>
    </row>
    <row r="13" spans="1:6" x14ac:dyDescent="0.25">
      <c r="A13" s="22">
        <v>12</v>
      </c>
      <c r="B13" s="23" t="s">
        <v>73</v>
      </c>
      <c r="C13" s="23" t="s">
        <v>74</v>
      </c>
      <c r="D13" s="23" t="s">
        <v>73</v>
      </c>
      <c r="E13" s="23" t="s">
        <v>74</v>
      </c>
      <c r="F13" s="22">
        <v>1</v>
      </c>
    </row>
    <row r="14" spans="1:6" x14ac:dyDescent="0.25">
      <c r="A14" s="22">
        <v>13</v>
      </c>
      <c r="B14" s="23" t="s">
        <v>75</v>
      </c>
      <c r="C14" s="23" t="s">
        <v>76</v>
      </c>
      <c r="D14" s="23" t="s">
        <v>75</v>
      </c>
      <c r="E14" s="23" t="s">
        <v>76</v>
      </c>
      <c r="F14" s="22">
        <v>1</v>
      </c>
    </row>
    <row r="15" spans="1:6" x14ac:dyDescent="0.25">
      <c r="A15" s="22">
        <v>14</v>
      </c>
      <c r="B15" s="23" t="s">
        <v>77</v>
      </c>
      <c r="C15" s="23" t="s">
        <v>78</v>
      </c>
      <c r="D15" s="23" t="s">
        <v>77</v>
      </c>
      <c r="E15" s="23" t="s">
        <v>78</v>
      </c>
      <c r="F15" s="22">
        <v>1</v>
      </c>
    </row>
    <row r="16" spans="1:6" x14ac:dyDescent="0.25">
      <c r="A16" s="22">
        <v>15</v>
      </c>
      <c r="B16" s="23" t="s">
        <v>79</v>
      </c>
      <c r="C16" s="23" t="s">
        <v>80</v>
      </c>
      <c r="D16" s="23" t="s">
        <v>79</v>
      </c>
      <c r="E16" s="26" t="s">
        <v>80</v>
      </c>
      <c r="F16" s="22">
        <v>1</v>
      </c>
    </row>
    <row r="17" spans="1:6" x14ac:dyDescent="0.25">
      <c r="A17" s="22">
        <v>16</v>
      </c>
      <c r="B17" s="23" t="s">
        <v>81</v>
      </c>
      <c r="C17" s="23" t="s">
        <v>82</v>
      </c>
      <c r="D17" s="23" t="s">
        <v>81</v>
      </c>
      <c r="E17" s="23" t="s">
        <v>82</v>
      </c>
    </row>
    <row r="18" spans="1:6" x14ac:dyDescent="0.25">
      <c r="A18" s="22">
        <v>17</v>
      </c>
      <c r="B18" s="23" t="s">
        <v>84</v>
      </c>
      <c r="C18" s="23" t="s">
        <v>85</v>
      </c>
      <c r="D18" s="23" t="s">
        <v>84</v>
      </c>
      <c r="E18" s="23" t="s">
        <v>85</v>
      </c>
    </row>
    <row r="19" spans="1:6" x14ac:dyDescent="0.25">
      <c r="A19" s="22">
        <v>18</v>
      </c>
      <c r="B19" s="23" t="s">
        <v>86</v>
      </c>
      <c r="C19" s="23" t="s">
        <v>87</v>
      </c>
      <c r="D19" s="23" t="s">
        <v>86</v>
      </c>
      <c r="E19" s="23" t="s">
        <v>87</v>
      </c>
    </row>
    <row r="20" spans="1:6" x14ac:dyDescent="0.25">
      <c r="A20" s="22">
        <v>19</v>
      </c>
      <c r="B20" s="23" t="s">
        <v>89</v>
      </c>
      <c r="C20" s="23" t="s">
        <v>90</v>
      </c>
      <c r="D20" s="23" t="s">
        <v>89</v>
      </c>
      <c r="E20" s="23" t="s">
        <v>90</v>
      </c>
    </row>
    <row r="21" spans="1:6" x14ac:dyDescent="0.25">
      <c r="A21" s="22">
        <v>20</v>
      </c>
      <c r="B21" s="23" t="s">
        <v>91</v>
      </c>
      <c r="C21" s="23" t="s">
        <v>92</v>
      </c>
      <c r="D21" s="23" t="s">
        <v>91</v>
      </c>
      <c r="E21" s="25" t="s">
        <v>92</v>
      </c>
      <c r="F21" s="22">
        <v>1</v>
      </c>
    </row>
    <row r="22" spans="1:6" x14ac:dyDescent="0.25">
      <c r="A22" s="22">
        <v>21</v>
      </c>
      <c r="B22" s="23" t="s">
        <v>94</v>
      </c>
      <c r="C22" s="23" t="s">
        <v>95</v>
      </c>
      <c r="D22" s="23" t="s">
        <v>94</v>
      </c>
      <c r="E22" s="23" t="s">
        <v>95</v>
      </c>
    </row>
    <row r="23" spans="1:6" x14ac:dyDescent="0.25">
      <c r="A23" s="22">
        <v>22</v>
      </c>
      <c r="B23" s="23" t="s">
        <v>96</v>
      </c>
      <c r="C23" s="23" t="s">
        <v>97</v>
      </c>
      <c r="D23" s="23" t="s">
        <v>96</v>
      </c>
      <c r="E23" s="23" t="s">
        <v>97</v>
      </c>
    </row>
    <row r="24" spans="1:6" x14ac:dyDescent="0.25">
      <c r="A24" s="22">
        <v>23</v>
      </c>
      <c r="B24" s="23" t="s">
        <v>98</v>
      </c>
      <c r="C24" s="23" t="s">
        <v>99</v>
      </c>
      <c r="D24" s="23" t="s">
        <v>98</v>
      </c>
      <c r="E24" s="23" t="s">
        <v>99</v>
      </c>
    </row>
    <row r="25" spans="1:6" x14ac:dyDescent="0.25">
      <c r="A25" s="22">
        <v>24</v>
      </c>
      <c r="B25" s="23" t="s">
        <v>100</v>
      </c>
      <c r="C25" s="23" t="s">
        <v>101</v>
      </c>
      <c r="D25" s="23" t="s">
        <v>100</v>
      </c>
      <c r="E25" s="23" t="s">
        <v>101</v>
      </c>
    </row>
    <row r="26" spans="1:6" x14ac:dyDescent="0.25">
      <c r="A26" s="22">
        <v>25</v>
      </c>
      <c r="B26" s="23" t="s">
        <v>102</v>
      </c>
      <c r="C26" s="23" t="s">
        <v>103</v>
      </c>
      <c r="D26" s="23" t="s">
        <v>102</v>
      </c>
      <c r="E26" s="23" t="s">
        <v>103</v>
      </c>
    </row>
    <row r="27" spans="1:6" x14ac:dyDescent="0.25">
      <c r="A27" s="22">
        <v>26</v>
      </c>
      <c r="B27" s="23" t="s">
        <v>105</v>
      </c>
      <c r="C27" s="23" t="s">
        <v>106</v>
      </c>
      <c r="D27" s="23" t="s">
        <v>105</v>
      </c>
      <c r="E27" s="23" t="s">
        <v>106</v>
      </c>
    </row>
    <row r="28" spans="1:6" x14ac:dyDescent="0.25">
      <c r="A28" s="22">
        <v>27</v>
      </c>
      <c r="B28" s="23" t="s">
        <v>107</v>
      </c>
      <c r="C28" s="23" t="s">
        <v>108</v>
      </c>
      <c r="D28" s="23" t="s">
        <v>107</v>
      </c>
      <c r="E28" s="23" t="s">
        <v>108</v>
      </c>
    </row>
    <row r="29" spans="1:6" x14ac:dyDescent="0.25">
      <c r="A29" s="22">
        <v>28</v>
      </c>
      <c r="B29" s="23" t="s">
        <v>109</v>
      </c>
      <c r="C29" s="23" t="s">
        <v>110</v>
      </c>
      <c r="D29" s="23" t="s">
        <v>109</v>
      </c>
      <c r="E29" s="25" t="s">
        <v>110</v>
      </c>
      <c r="F29" s="22">
        <v>1</v>
      </c>
    </row>
    <row r="30" spans="1:6" x14ac:dyDescent="0.25">
      <c r="A30" s="22">
        <v>29</v>
      </c>
      <c r="B30" s="23" t="s">
        <v>111</v>
      </c>
      <c r="C30" s="23" t="s">
        <v>112</v>
      </c>
      <c r="D30" s="23" t="s">
        <v>111</v>
      </c>
      <c r="E30" s="23" t="s">
        <v>112</v>
      </c>
    </row>
    <row r="31" spans="1:6" x14ac:dyDescent="0.25">
      <c r="A31" s="22">
        <v>30</v>
      </c>
      <c r="B31" s="23" t="s">
        <v>113</v>
      </c>
      <c r="C31" s="23" t="s">
        <v>114</v>
      </c>
      <c r="D31" s="23" t="s">
        <v>113</v>
      </c>
      <c r="E31" s="23" t="s">
        <v>114</v>
      </c>
    </row>
    <row r="32" spans="1:6" x14ac:dyDescent="0.25">
      <c r="A32" s="22">
        <v>31</v>
      </c>
      <c r="B32" s="23" t="s">
        <v>113</v>
      </c>
      <c r="C32" s="23" t="s">
        <v>114</v>
      </c>
      <c r="D32" s="23" t="s">
        <v>113</v>
      </c>
      <c r="E32" s="23" t="s">
        <v>114</v>
      </c>
    </row>
    <row r="33" spans="1:6" x14ac:dyDescent="0.25">
      <c r="A33" s="22">
        <v>32</v>
      </c>
      <c r="B33" s="23" t="s">
        <v>115</v>
      </c>
      <c r="C33" s="23" t="s">
        <v>116</v>
      </c>
      <c r="D33" s="23" t="s">
        <v>115</v>
      </c>
      <c r="E33" s="23" t="s">
        <v>116</v>
      </c>
    </row>
    <row r="34" spans="1:6" x14ac:dyDescent="0.25">
      <c r="A34" s="22">
        <v>33</v>
      </c>
      <c r="B34" s="23" t="s">
        <v>117</v>
      </c>
      <c r="C34" s="23" t="s">
        <v>118</v>
      </c>
      <c r="D34" s="23" t="s">
        <v>117</v>
      </c>
      <c r="E34" s="23" t="s">
        <v>118</v>
      </c>
    </row>
    <row r="35" spans="1:6" x14ac:dyDescent="0.25">
      <c r="A35" s="22">
        <v>34</v>
      </c>
      <c r="B35" s="23" t="s">
        <v>123</v>
      </c>
      <c r="C35" s="23" t="s">
        <v>124</v>
      </c>
      <c r="D35" s="23" t="s">
        <v>123</v>
      </c>
      <c r="E35" s="23" t="s">
        <v>124</v>
      </c>
    </row>
    <row r="36" spans="1:6" x14ac:dyDescent="0.25">
      <c r="A36" s="22">
        <v>35</v>
      </c>
      <c r="B36" s="23" t="s">
        <v>126</v>
      </c>
      <c r="C36" s="23" t="s">
        <v>127</v>
      </c>
      <c r="D36" s="23" t="s">
        <v>126</v>
      </c>
      <c r="E36" s="23" t="s">
        <v>127</v>
      </c>
    </row>
    <row r="37" spans="1:6" x14ac:dyDescent="0.25">
      <c r="A37" s="22">
        <v>36</v>
      </c>
      <c r="B37" s="23" t="s">
        <v>128</v>
      </c>
      <c r="C37" s="23" t="s">
        <v>129</v>
      </c>
      <c r="D37" s="23" t="s">
        <v>128</v>
      </c>
      <c r="E37" s="23" t="s">
        <v>129</v>
      </c>
    </row>
    <row r="38" spans="1:6" x14ac:dyDescent="0.25">
      <c r="A38" s="22">
        <v>37</v>
      </c>
      <c r="B38" s="23" t="s">
        <v>131</v>
      </c>
      <c r="C38" s="23" t="s">
        <v>132</v>
      </c>
      <c r="D38" s="23" t="s">
        <v>131</v>
      </c>
      <c r="E38" s="23" t="s">
        <v>132</v>
      </c>
    </row>
    <row r="39" spans="1:6" x14ac:dyDescent="0.25">
      <c r="A39" s="22">
        <v>38</v>
      </c>
      <c r="B39" s="23" t="s">
        <v>133</v>
      </c>
      <c r="C39" s="23" t="s">
        <v>134</v>
      </c>
      <c r="D39" s="23" t="s">
        <v>133</v>
      </c>
      <c r="E39" s="25" t="s">
        <v>134</v>
      </c>
      <c r="F39" s="22">
        <v>1</v>
      </c>
    </row>
    <row r="40" spans="1:6" x14ac:dyDescent="0.25">
      <c r="A40" s="22">
        <v>39</v>
      </c>
      <c r="B40" s="23" t="s">
        <v>135</v>
      </c>
      <c r="C40" s="23" t="s">
        <v>136</v>
      </c>
      <c r="D40" s="23" t="s">
        <v>135</v>
      </c>
      <c r="E40" s="25" t="s">
        <v>136</v>
      </c>
      <c r="F40" s="22">
        <v>1</v>
      </c>
    </row>
    <row r="41" spans="1:6" x14ac:dyDescent="0.25">
      <c r="A41" s="22">
        <v>40</v>
      </c>
      <c r="B41" s="23" t="s">
        <v>135</v>
      </c>
      <c r="C41" s="23" t="s">
        <v>136</v>
      </c>
      <c r="D41" s="23" t="s">
        <v>135</v>
      </c>
      <c r="E41" s="23" t="s">
        <v>136</v>
      </c>
    </row>
    <row r="42" spans="1:6" x14ac:dyDescent="0.25">
      <c r="A42" s="22">
        <v>41</v>
      </c>
      <c r="B42" s="23" t="s">
        <v>137</v>
      </c>
      <c r="C42" s="23" t="s">
        <v>138</v>
      </c>
      <c r="D42" s="23" t="s">
        <v>137</v>
      </c>
      <c r="E42" s="23" t="s">
        <v>138</v>
      </c>
    </row>
    <row r="43" spans="1:6" x14ac:dyDescent="0.25">
      <c r="A43" s="22">
        <v>42</v>
      </c>
      <c r="B43" s="23" t="s">
        <v>139</v>
      </c>
      <c r="C43" s="23" t="s">
        <v>140</v>
      </c>
      <c r="D43" s="23" t="s">
        <v>139</v>
      </c>
      <c r="E43" s="23" t="s">
        <v>140</v>
      </c>
    </row>
    <row r="44" spans="1:6" x14ac:dyDescent="0.25">
      <c r="A44" s="22">
        <v>43</v>
      </c>
      <c r="B44" s="23" t="s">
        <v>141</v>
      </c>
      <c r="C44" s="23" t="s">
        <v>142</v>
      </c>
      <c r="D44" s="23" t="s">
        <v>141</v>
      </c>
      <c r="E44" s="23" t="s">
        <v>142</v>
      </c>
    </row>
    <row r="45" spans="1:6" x14ac:dyDescent="0.25">
      <c r="A45" s="22">
        <v>44</v>
      </c>
      <c r="B45" s="23" t="s">
        <v>143</v>
      </c>
      <c r="C45" s="23" t="s">
        <v>144</v>
      </c>
      <c r="D45" s="23" t="s">
        <v>143</v>
      </c>
      <c r="E45" s="23" t="s">
        <v>144</v>
      </c>
    </row>
    <row r="46" spans="1:6" x14ac:dyDescent="0.25">
      <c r="A46" s="22">
        <v>45</v>
      </c>
      <c r="B46" s="23" t="s">
        <v>145</v>
      </c>
      <c r="C46" s="23" t="s">
        <v>146</v>
      </c>
      <c r="D46" s="23" t="s">
        <v>145</v>
      </c>
      <c r="E46" s="25" t="s">
        <v>146</v>
      </c>
      <c r="F46" s="22">
        <v>1</v>
      </c>
    </row>
    <row r="47" spans="1:6" x14ac:dyDescent="0.25">
      <c r="A47" s="22">
        <v>46</v>
      </c>
      <c r="B47" s="23" t="s">
        <v>147</v>
      </c>
      <c r="C47" s="23" t="s">
        <v>148</v>
      </c>
      <c r="D47" s="23" t="s">
        <v>147</v>
      </c>
      <c r="E47" s="25" t="s">
        <v>148</v>
      </c>
      <c r="F47" s="22">
        <v>1</v>
      </c>
    </row>
    <row r="48" spans="1:6" x14ac:dyDescent="0.25">
      <c r="A48" s="22">
        <v>47</v>
      </c>
      <c r="B48" s="23" t="s">
        <v>149</v>
      </c>
      <c r="C48" s="23" t="s">
        <v>150</v>
      </c>
      <c r="D48" s="23" t="s">
        <v>149</v>
      </c>
      <c r="E48" s="23" t="s">
        <v>150</v>
      </c>
    </row>
    <row r="49" spans="1:5" x14ac:dyDescent="0.25">
      <c r="A49" s="22">
        <v>48</v>
      </c>
      <c r="B49" s="23" t="s">
        <v>151</v>
      </c>
      <c r="C49" s="23" t="s">
        <v>152</v>
      </c>
      <c r="D49" s="23" t="s">
        <v>151</v>
      </c>
      <c r="E49" s="23" t="s">
        <v>152</v>
      </c>
    </row>
    <row r="50" spans="1:5" x14ac:dyDescent="0.25">
      <c r="A50" s="22">
        <v>49</v>
      </c>
      <c r="B50" s="23" t="s">
        <v>157</v>
      </c>
      <c r="C50" s="23" t="s">
        <v>158</v>
      </c>
      <c r="D50" s="23" t="s">
        <v>157</v>
      </c>
      <c r="E50" s="23" t="s">
        <v>158</v>
      </c>
    </row>
    <row r="51" spans="1:5" x14ac:dyDescent="0.25">
      <c r="A51" s="22">
        <v>50</v>
      </c>
      <c r="B51" s="23" t="s">
        <v>159</v>
      </c>
      <c r="C51" s="23" t="s">
        <v>160</v>
      </c>
      <c r="D51" s="23" t="s">
        <v>159</v>
      </c>
      <c r="E51" s="23" t="s">
        <v>160</v>
      </c>
    </row>
    <row r="52" spans="1:5" x14ac:dyDescent="0.25">
      <c r="A52" s="22">
        <v>51</v>
      </c>
      <c r="B52" s="23" t="s">
        <v>161</v>
      </c>
      <c r="C52" s="23" t="s">
        <v>162</v>
      </c>
      <c r="D52" s="23" t="s">
        <v>161</v>
      </c>
      <c r="E52" s="23" t="s">
        <v>162</v>
      </c>
    </row>
    <row r="53" spans="1:5" x14ac:dyDescent="0.25">
      <c r="A53" s="22">
        <v>52</v>
      </c>
      <c r="B53" s="23" t="s">
        <v>161</v>
      </c>
      <c r="C53" s="23" t="s">
        <v>162</v>
      </c>
      <c r="D53" s="23" t="s">
        <v>161</v>
      </c>
      <c r="E53" s="23" t="s">
        <v>162</v>
      </c>
    </row>
  </sheetData>
  <sortState xmlns:xlrd2="http://schemas.microsoft.com/office/spreadsheetml/2017/richdata2" ref="A2:F53">
    <sortCondition ref="A2:A5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19CBB-7DB4-4AFA-8492-47515B8B36C5}">
  <dimension ref="A1:L161"/>
  <sheetViews>
    <sheetView zoomScale="90" zoomScaleNormal="90" workbookViewId="0">
      <selection activeCell="G33" sqref="G33"/>
    </sheetView>
  </sheetViews>
  <sheetFormatPr defaultRowHeight="15" x14ac:dyDescent="0.25"/>
  <cols>
    <col min="1" max="1" width="8.7109375" style="22"/>
    <col min="2" max="2" width="32.140625" bestFit="1" customWidth="1"/>
    <col min="3" max="3" width="17.42578125" bestFit="1" customWidth="1"/>
    <col min="4" max="4" width="13.140625" style="22" bestFit="1" customWidth="1"/>
    <col min="7" max="8" width="9.42578125" customWidth="1"/>
    <col min="9" max="9" width="8" bestFit="1" customWidth="1"/>
    <col min="10" max="10" width="10.5703125" customWidth="1"/>
    <col min="11" max="11" width="8" style="22" bestFit="1" customWidth="1"/>
    <col min="12" max="12" width="11" style="22" customWidth="1"/>
  </cols>
  <sheetData>
    <row r="1" spans="1:12" x14ac:dyDescent="0.25">
      <c r="C1" s="41" t="s">
        <v>213</v>
      </c>
      <c r="D1" s="41"/>
      <c r="E1" s="70" t="s">
        <v>214</v>
      </c>
      <c r="F1" s="70"/>
      <c r="G1" s="70" t="s">
        <v>249</v>
      </c>
      <c r="H1" s="70"/>
      <c r="I1" s="70"/>
      <c r="J1" s="70"/>
      <c r="K1" s="29"/>
      <c r="L1" s="29"/>
    </row>
    <row r="2" spans="1:12" x14ac:dyDescent="0.25">
      <c r="E2" s="70"/>
      <c r="F2" s="70"/>
      <c r="G2" s="70"/>
      <c r="H2" s="70"/>
      <c r="I2" s="70"/>
      <c r="J2" s="70"/>
    </row>
    <row r="3" spans="1:12" x14ac:dyDescent="0.25">
      <c r="B3" s="23" t="s">
        <v>163</v>
      </c>
      <c r="C3" s="23" t="s">
        <v>165</v>
      </c>
      <c r="D3" s="23" t="s">
        <v>166</v>
      </c>
      <c r="E3" t="s">
        <v>168</v>
      </c>
      <c r="F3" t="s">
        <v>167</v>
      </c>
      <c r="G3" s="22" t="s">
        <v>168</v>
      </c>
      <c r="H3" s="22" t="s">
        <v>167</v>
      </c>
      <c r="I3" s="22"/>
      <c r="J3" s="22"/>
    </row>
    <row r="4" spans="1:12" x14ac:dyDescent="0.25">
      <c r="A4" s="22">
        <v>1</v>
      </c>
      <c r="B4" s="23" t="s">
        <v>31</v>
      </c>
      <c r="C4" s="23" t="s">
        <v>40</v>
      </c>
      <c r="D4" s="23" t="s">
        <v>34</v>
      </c>
      <c r="E4">
        <v>0</v>
      </c>
      <c r="F4">
        <v>0</v>
      </c>
      <c r="G4" s="22">
        <v>0</v>
      </c>
      <c r="H4" s="22">
        <v>0</v>
      </c>
      <c r="I4" s="22"/>
      <c r="J4" s="22"/>
    </row>
    <row r="5" spans="1:12" x14ac:dyDescent="0.25">
      <c r="A5" s="5">
        <v>2</v>
      </c>
      <c r="B5" s="23" t="s">
        <v>42</v>
      </c>
      <c r="C5" s="23" t="s">
        <v>47</v>
      </c>
      <c r="D5" s="23" t="s">
        <v>34</v>
      </c>
      <c r="E5">
        <v>0</v>
      </c>
      <c r="F5">
        <v>0</v>
      </c>
      <c r="G5" s="22">
        <v>0</v>
      </c>
      <c r="H5" s="22">
        <v>0</v>
      </c>
      <c r="I5" s="22"/>
      <c r="J5" s="22"/>
    </row>
    <row r="6" spans="1:12" hidden="1" x14ac:dyDescent="0.25">
      <c r="A6" s="22">
        <v>3</v>
      </c>
      <c r="B6" s="23" t="s">
        <v>49</v>
      </c>
      <c r="C6" s="23" t="s">
        <v>47</v>
      </c>
      <c r="D6" s="23" t="s">
        <v>34</v>
      </c>
      <c r="E6">
        <v>0</v>
      </c>
      <c r="F6">
        <v>0</v>
      </c>
      <c r="G6" s="22">
        <v>0</v>
      </c>
      <c r="H6" s="22">
        <v>0</v>
      </c>
      <c r="I6" s="22"/>
      <c r="J6" s="22"/>
    </row>
    <row r="7" spans="1:12" x14ac:dyDescent="0.25">
      <c r="A7" s="5">
        <v>4</v>
      </c>
      <c r="B7" s="23" t="s">
        <v>51</v>
      </c>
      <c r="C7" s="23" t="s">
        <v>47</v>
      </c>
      <c r="D7" s="23" t="s">
        <v>34</v>
      </c>
      <c r="E7">
        <v>0</v>
      </c>
      <c r="F7">
        <v>0</v>
      </c>
      <c r="G7" s="22">
        <v>0</v>
      </c>
      <c r="H7" s="22">
        <v>0</v>
      </c>
      <c r="I7" s="22"/>
      <c r="J7" s="22"/>
    </row>
    <row r="8" spans="1:12" x14ac:dyDescent="0.25">
      <c r="A8" s="22">
        <v>5</v>
      </c>
      <c r="B8" s="23" t="s">
        <v>54</v>
      </c>
      <c r="C8" s="23" t="s">
        <v>40</v>
      </c>
      <c r="D8" s="23" t="s">
        <v>34</v>
      </c>
      <c r="E8">
        <v>0</v>
      </c>
      <c r="F8">
        <v>0</v>
      </c>
      <c r="G8" s="22">
        <v>0</v>
      </c>
      <c r="H8" s="22">
        <v>0</v>
      </c>
      <c r="I8" s="22"/>
      <c r="J8" s="22"/>
    </row>
    <row r="9" spans="1:12" x14ac:dyDescent="0.25">
      <c r="A9" s="19">
        <v>6</v>
      </c>
      <c r="B9" s="23" t="s">
        <v>57</v>
      </c>
      <c r="C9" s="23" t="s">
        <v>61</v>
      </c>
      <c r="D9" s="23" t="s">
        <v>58</v>
      </c>
      <c r="E9">
        <v>0</v>
      </c>
      <c r="F9">
        <v>0</v>
      </c>
      <c r="G9" s="22">
        <v>0</v>
      </c>
      <c r="H9" s="22">
        <v>0</v>
      </c>
      <c r="I9" s="22"/>
      <c r="J9" s="22"/>
    </row>
    <row r="10" spans="1:12" x14ac:dyDescent="0.25">
      <c r="A10" s="22">
        <v>7</v>
      </c>
      <c r="B10" s="23" t="s">
        <v>64</v>
      </c>
      <c r="C10" s="23" t="s">
        <v>40</v>
      </c>
      <c r="D10" s="23" t="s">
        <v>58</v>
      </c>
      <c r="E10">
        <v>0</v>
      </c>
      <c r="F10">
        <v>0</v>
      </c>
      <c r="G10" s="22">
        <v>0</v>
      </c>
      <c r="H10" s="22">
        <v>0</v>
      </c>
      <c r="I10" s="22"/>
      <c r="J10" s="22"/>
    </row>
    <row r="11" spans="1:12" x14ac:dyDescent="0.25">
      <c r="A11" s="22">
        <v>8</v>
      </c>
      <c r="B11" s="23" t="s">
        <v>74</v>
      </c>
      <c r="C11" s="23" t="s">
        <v>40</v>
      </c>
      <c r="D11" s="23" t="s">
        <v>34</v>
      </c>
      <c r="E11">
        <v>0</v>
      </c>
      <c r="F11">
        <v>0</v>
      </c>
      <c r="G11" s="22">
        <v>0</v>
      </c>
      <c r="H11" s="22">
        <v>0</v>
      </c>
      <c r="I11" s="22"/>
      <c r="J11" s="22"/>
    </row>
    <row r="12" spans="1:12" x14ac:dyDescent="0.25">
      <c r="A12" s="5">
        <v>9</v>
      </c>
      <c r="B12" s="23" t="s">
        <v>76</v>
      </c>
      <c r="C12" s="23" t="s">
        <v>40</v>
      </c>
      <c r="D12" s="23" t="s">
        <v>58</v>
      </c>
      <c r="E12">
        <v>0</v>
      </c>
      <c r="F12">
        <v>0</v>
      </c>
      <c r="G12" s="22">
        <v>0</v>
      </c>
      <c r="H12" s="22">
        <v>0</v>
      </c>
      <c r="I12" s="22"/>
      <c r="J12" s="22"/>
    </row>
    <row r="13" spans="1:12" x14ac:dyDescent="0.25">
      <c r="A13" s="5">
        <v>10</v>
      </c>
      <c r="B13" s="23" t="s">
        <v>80</v>
      </c>
      <c r="C13" s="23" t="s">
        <v>40</v>
      </c>
      <c r="D13" s="23" t="s">
        <v>58</v>
      </c>
      <c r="E13">
        <v>0</v>
      </c>
      <c r="F13">
        <v>0</v>
      </c>
      <c r="G13" s="22">
        <v>0</v>
      </c>
      <c r="H13" s="22">
        <v>0</v>
      </c>
      <c r="I13" s="22"/>
      <c r="J13" s="22"/>
    </row>
    <row r="14" spans="1:12" x14ac:dyDescent="0.25">
      <c r="A14" s="22">
        <v>11</v>
      </c>
      <c r="B14" s="23" t="s">
        <v>66</v>
      </c>
      <c r="C14" s="23" t="s">
        <v>47</v>
      </c>
      <c r="D14" s="23" t="s">
        <v>34</v>
      </c>
      <c r="E14">
        <v>0</v>
      </c>
      <c r="F14">
        <v>0</v>
      </c>
      <c r="G14" s="22">
        <v>0</v>
      </c>
      <c r="H14" s="22">
        <v>0</v>
      </c>
      <c r="I14" s="22"/>
      <c r="J14" s="22"/>
    </row>
    <row r="15" spans="1:12" hidden="1" x14ac:dyDescent="0.25">
      <c r="A15" s="22">
        <v>12</v>
      </c>
      <c r="B15" s="23" t="s">
        <v>68</v>
      </c>
      <c r="C15" s="23" t="s">
        <v>47</v>
      </c>
      <c r="D15" s="23" t="s">
        <v>34</v>
      </c>
      <c r="E15">
        <v>0</v>
      </c>
      <c r="F15">
        <v>0</v>
      </c>
      <c r="G15" s="22">
        <v>0</v>
      </c>
      <c r="H15" s="22">
        <v>0</v>
      </c>
      <c r="I15" s="22"/>
      <c r="J15" s="22"/>
    </row>
    <row r="16" spans="1:12" hidden="1" x14ac:dyDescent="0.25">
      <c r="A16" s="22">
        <v>13</v>
      </c>
      <c r="B16" s="23" t="s">
        <v>70</v>
      </c>
      <c r="C16" s="23" t="s">
        <v>47</v>
      </c>
      <c r="D16" s="23" t="s">
        <v>34</v>
      </c>
      <c r="E16">
        <v>0</v>
      </c>
      <c r="F16">
        <v>0</v>
      </c>
      <c r="G16" s="22">
        <v>0</v>
      </c>
      <c r="H16" s="22">
        <v>0</v>
      </c>
      <c r="I16" s="22"/>
      <c r="J16" s="22"/>
    </row>
    <row r="17" spans="1:11" hidden="1" x14ac:dyDescent="0.25">
      <c r="A17" s="22">
        <v>14</v>
      </c>
      <c r="B17" s="23" t="s">
        <v>72</v>
      </c>
      <c r="C17" s="23" t="s">
        <v>47</v>
      </c>
      <c r="D17" s="23" t="s">
        <v>34</v>
      </c>
      <c r="E17">
        <v>0</v>
      </c>
      <c r="F17">
        <v>0</v>
      </c>
      <c r="G17" s="22">
        <v>0</v>
      </c>
      <c r="H17" s="22">
        <v>0</v>
      </c>
      <c r="I17" s="22"/>
      <c r="J17" s="22"/>
    </row>
    <row r="18" spans="1:11" x14ac:dyDescent="0.25">
      <c r="A18" s="22">
        <v>15</v>
      </c>
      <c r="B18" s="23" t="s">
        <v>78</v>
      </c>
      <c r="C18" s="23" t="s">
        <v>47</v>
      </c>
      <c r="D18" s="23" t="s">
        <v>34</v>
      </c>
      <c r="E18">
        <v>0</v>
      </c>
      <c r="F18">
        <v>0</v>
      </c>
      <c r="G18" s="22">
        <v>0</v>
      </c>
      <c r="H18" s="22">
        <v>0</v>
      </c>
      <c r="I18" s="22"/>
      <c r="J18" s="22"/>
    </row>
    <row r="19" spans="1:11" x14ac:dyDescent="0.25">
      <c r="A19" s="22">
        <v>20</v>
      </c>
      <c r="B19" s="23" t="s">
        <v>92</v>
      </c>
      <c r="C19" s="23" t="s">
        <v>40</v>
      </c>
      <c r="D19" s="23" t="s">
        <v>58</v>
      </c>
      <c r="E19" s="22">
        <v>1</v>
      </c>
      <c r="F19" s="22">
        <v>47</v>
      </c>
      <c r="G19" s="22">
        <v>1</v>
      </c>
      <c r="H19" s="22">
        <v>10</v>
      </c>
      <c r="I19" s="22"/>
      <c r="J19" s="22"/>
    </row>
    <row r="20" spans="1:11" x14ac:dyDescent="0.25">
      <c r="A20" s="22">
        <v>28</v>
      </c>
      <c r="B20" s="23" t="s">
        <v>110</v>
      </c>
      <c r="C20" s="23" t="s">
        <v>61</v>
      </c>
      <c r="D20" s="23" t="s">
        <v>58</v>
      </c>
      <c r="E20" s="22">
        <v>1</v>
      </c>
      <c r="F20" s="22">
        <v>47</v>
      </c>
      <c r="G20" s="22">
        <v>1</v>
      </c>
      <c r="H20" s="22">
        <v>10</v>
      </c>
      <c r="I20" s="22"/>
      <c r="J20" s="22"/>
    </row>
    <row r="21" spans="1:11" x14ac:dyDescent="0.25">
      <c r="A21" s="22">
        <v>38</v>
      </c>
      <c r="B21" s="23" t="s">
        <v>134</v>
      </c>
      <c r="C21" s="23" t="s">
        <v>47</v>
      </c>
      <c r="D21" s="23" t="s">
        <v>58</v>
      </c>
      <c r="E21" s="22">
        <v>1</v>
      </c>
      <c r="F21" s="22">
        <v>47</v>
      </c>
      <c r="G21" s="22">
        <v>1</v>
      </c>
      <c r="H21" s="22">
        <v>4</v>
      </c>
      <c r="I21" s="22"/>
      <c r="J21" s="22"/>
    </row>
    <row r="22" spans="1:11" x14ac:dyDescent="0.25">
      <c r="A22" s="22">
        <v>39</v>
      </c>
      <c r="B22" s="23" t="s">
        <v>136</v>
      </c>
      <c r="C22" s="23" t="s">
        <v>40</v>
      </c>
      <c r="D22" s="23" t="s">
        <v>58</v>
      </c>
      <c r="E22" s="22">
        <v>1</v>
      </c>
      <c r="F22" s="22">
        <v>47</v>
      </c>
      <c r="G22" s="22">
        <v>1</v>
      </c>
      <c r="H22" s="22">
        <v>6</v>
      </c>
      <c r="I22" s="22"/>
      <c r="J22" s="22"/>
    </row>
    <row r="23" spans="1:11" x14ac:dyDescent="0.25">
      <c r="A23" s="22">
        <v>45</v>
      </c>
      <c r="B23" s="23" t="s">
        <v>146</v>
      </c>
      <c r="C23" s="23" t="s">
        <v>61</v>
      </c>
      <c r="D23" s="23" t="s">
        <v>58</v>
      </c>
      <c r="E23" s="22">
        <v>1</v>
      </c>
      <c r="F23" s="22">
        <v>47</v>
      </c>
      <c r="G23" s="22">
        <v>1</v>
      </c>
      <c r="H23" s="22">
        <v>6</v>
      </c>
      <c r="I23" s="22"/>
      <c r="J23" s="22"/>
    </row>
    <row r="24" spans="1:11" x14ac:dyDescent="0.25">
      <c r="A24" s="22">
        <v>46</v>
      </c>
      <c r="B24" s="23" t="s">
        <v>148</v>
      </c>
      <c r="C24" s="23" t="s">
        <v>47</v>
      </c>
      <c r="D24" s="23" t="s">
        <v>34</v>
      </c>
      <c r="E24" s="22">
        <v>1</v>
      </c>
      <c r="F24" s="22">
        <v>47</v>
      </c>
      <c r="G24" s="22">
        <v>1</v>
      </c>
      <c r="H24" s="22">
        <v>4</v>
      </c>
      <c r="I24" s="22"/>
      <c r="J24" s="22"/>
    </row>
    <row r="25" spans="1:11" s="22" customFormat="1" x14ac:dyDescent="0.25">
      <c r="A25" s="22">
        <v>47</v>
      </c>
      <c r="B25" s="42" t="s">
        <v>216</v>
      </c>
      <c r="C25" s="42"/>
      <c r="D25" s="42" t="s">
        <v>215</v>
      </c>
      <c r="E25" s="42"/>
      <c r="F25" s="42"/>
    </row>
    <row r="26" spans="1:11" s="22" customFormat="1" x14ac:dyDescent="0.25">
      <c r="B26" s="23"/>
      <c r="G26" s="19"/>
      <c r="I26" s="23"/>
      <c r="K26" s="23"/>
    </row>
    <row r="27" spans="1:11" s="22" customFormat="1" x14ac:dyDescent="0.25">
      <c r="B27" s="23"/>
      <c r="C27" s="22" t="s">
        <v>224</v>
      </c>
      <c r="E27" s="42">
        <v>20</v>
      </c>
      <c r="G27" s="42">
        <v>4.8000000000000007</v>
      </c>
    </row>
    <row r="28" spans="1:11" s="22" customFormat="1" x14ac:dyDescent="0.25">
      <c r="B28" s="23"/>
      <c r="C28" s="22" t="s">
        <v>179</v>
      </c>
      <c r="E28" s="42">
        <v>14</v>
      </c>
      <c r="G28" s="42">
        <v>14</v>
      </c>
    </row>
    <row r="29" spans="1:11" s="22" customFormat="1" x14ac:dyDescent="0.25">
      <c r="B29" s="23"/>
      <c r="C29" s="22" t="s">
        <v>180</v>
      </c>
      <c r="E29" s="22">
        <v>3</v>
      </c>
      <c r="G29" s="22">
        <v>3</v>
      </c>
    </row>
    <row r="30" spans="1:11" s="22" customFormat="1" x14ac:dyDescent="0.25">
      <c r="B30" s="23"/>
      <c r="C30" s="22" t="s">
        <v>181</v>
      </c>
      <c r="E30" s="22">
        <v>5.5</v>
      </c>
      <c r="G30" s="22">
        <v>2</v>
      </c>
    </row>
    <row r="31" spans="1:11" s="22" customFormat="1" x14ac:dyDescent="0.25">
      <c r="B31" s="23"/>
      <c r="C31" s="22" t="s">
        <v>222</v>
      </c>
      <c r="E31" s="22">
        <v>6</v>
      </c>
      <c r="G31" s="22">
        <v>24</v>
      </c>
      <c r="I31" s="43"/>
      <c r="K31" s="43"/>
    </row>
    <row r="32" spans="1:11" s="22" customFormat="1" x14ac:dyDescent="0.25">
      <c r="B32" s="23"/>
      <c r="C32" s="22" t="s">
        <v>182</v>
      </c>
      <c r="E32" s="22">
        <v>7</v>
      </c>
      <c r="G32" s="22">
        <v>9</v>
      </c>
    </row>
    <row r="33" spans="2:10" s="22" customFormat="1" x14ac:dyDescent="0.25">
      <c r="B33" s="23"/>
      <c r="C33" s="23"/>
      <c r="D33" s="23"/>
      <c r="E33" s="62">
        <v>24.855758807588074</v>
      </c>
      <c r="G33" s="62">
        <v>37.99830826753351</v>
      </c>
    </row>
    <row r="34" spans="2:10" x14ac:dyDescent="0.25">
      <c r="G34" s="22"/>
      <c r="H34" s="22"/>
      <c r="I34" s="22"/>
      <c r="J34" s="22"/>
    </row>
    <row r="35" spans="2:10" x14ac:dyDescent="0.25">
      <c r="C35" s="7" t="s">
        <v>168</v>
      </c>
      <c r="D35" s="17" t="s">
        <v>167</v>
      </c>
      <c r="E35" s="15" t="s">
        <v>187</v>
      </c>
      <c r="G35" s="15" t="s">
        <v>187</v>
      </c>
      <c r="H35" s="22"/>
      <c r="I35" s="15"/>
      <c r="J35" s="22"/>
    </row>
    <row r="36" spans="2:10" x14ac:dyDescent="0.25">
      <c r="C36" s="31">
        <v>1</v>
      </c>
      <c r="D36" s="32">
        <v>2</v>
      </c>
      <c r="E36" s="18">
        <v>0</v>
      </c>
      <c r="G36" s="18">
        <v>0</v>
      </c>
      <c r="H36" s="22"/>
      <c r="I36" s="18"/>
      <c r="J36" s="22"/>
    </row>
    <row r="37" spans="2:10" x14ac:dyDescent="0.25">
      <c r="C37" s="6">
        <v>2</v>
      </c>
      <c r="D37" s="12">
        <v>2</v>
      </c>
      <c r="E37" s="18">
        <v>0</v>
      </c>
      <c r="G37" s="18">
        <v>0</v>
      </c>
      <c r="H37" s="22"/>
      <c r="I37" s="18"/>
      <c r="J37" s="22"/>
    </row>
    <row r="38" spans="2:10" x14ac:dyDescent="0.25">
      <c r="C38" s="6">
        <v>3</v>
      </c>
      <c r="D38" s="12">
        <v>2</v>
      </c>
      <c r="E38" s="18">
        <v>0</v>
      </c>
      <c r="G38" s="18">
        <v>0</v>
      </c>
      <c r="H38" s="22"/>
      <c r="I38" s="18"/>
      <c r="J38" s="22"/>
    </row>
    <row r="39" spans="2:10" x14ac:dyDescent="0.25">
      <c r="C39" s="6">
        <v>4</v>
      </c>
      <c r="D39" s="12">
        <v>2</v>
      </c>
      <c r="E39" s="18">
        <v>0</v>
      </c>
      <c r="G39" s="18">
        <v>0</v>
      </c>
      <c r="H39" s="22"/>
      <c r="I39" s="18"/>
      <c r="J39" s="22"/>
    </row>
    <row r="40" spans="2:10" x14ac:dyDescent="0.25">
      <c r="C40" s="6">
        <v>5</v>
      </c>
      <c r="D40" s="12">
        <v>2</v>
      </c>
      <c r="E40" s="18">
        <v>0</v>
      </c>
      <c r="G40" s="18">
        <v>0</v>
      </c>
      <c r="H40" s="22"/>
      <c r="I40" s="18"/>
      <c r="J40" s="22"/>
    </row>
    <row r="41" spans="2:10" x14ac:dyDescent="0.25">
      <c r="C41" s="6">
        <v>6</v>
      </c>
      <c r="D41" s="12">
        <v>2</v>
      </c>
      <c r="E41" s="18">
        <v>0</v>
      </c>
      <c r="G41" s="18">
        <v>0</v>
      </c>
      <c r="H41" s="22"/>
      <c r="I41" s="18"/>
      <c r="J41" s="22"/>
    </row>
    <row r="42" spans="2:10" x14ac:dyDescent="0.25">
      <c r="C42" s="6">
        <v>7</v>
      </c>
      <c r="D42" s="12">
        <v>2</v>
      </c>
      <c r="E42" s="18">
        <v>0</v>
      </c>
      <c r="G42" s="18">
        <v>0</v>
      </c>
      <c r="H42" s="22"/>
      <c r="I42" s="18"/>
      <c r="J42" s="22"/>
    </row>
    <row r="43" spans="2:10" x14ac:dyDescent="0.25">
      <c r="C43" s="6">
        <v>8</v>
      </c>
      <c r="D43" s="12">
        <v>2</v>
      </c>
      <c r="E43" s="18">
        <v>0</v>
      </c>
      <c r="G43" s="18">
        <v>0</v>
      </c>
      <c r="H43" s="22"/>
      <c r="I43" s="18"/>
      <c r="J43" s="22"/>
    </row>
    <row r="44" spans="2:10" x14ac:dyDescent="0.25">
      <c r="C44" s="6">
        <v>9</v>
      </c>
      <c r="D44" s="12">
        <v>2</v>
      </c>
      <c r="E44" s="18">
        <v>0</v>
      </c>
      <c r="G44" s="18">
        <v>0</v>
      </c>
      <c r="H44" s="22"/>
      <c r="I44" s="18"/>
      <c r="J44" s="22"/>
    </row>
    <row r="45" spans="2:10" x14ac:dyDescent="0.25">
      <c r="C45" s="6">
        <v>10</v>
      </c>
      <c r="D45" s="12">
        <v>2</v>
      </c>
      <c r="E45" s="18">
        <v>0</v>
      </c>
      <c r="G45" s="18">
        <v>0</v>
      </c>
      <c r="H45" s="22"/>
      <c r="I45" s="18"/>
      <c r="J45" s="22"/>
    </row>
    <row r="46" spans="2:10" x14ac:dyDescent="0.25">
      <c r="C46" s="6">
        <v>11</v>
      </c>
      <c r="D46" s="12">
        <v>2</v>
      </c>
      <c r="E46" s="18">
        <v>0</v>
      </c>
      <c r="G46" s="18">
        <v>0</v>
      </c>
      <c r="H46" s="22"/>
      <c r="I46" s="18"/>
      <c r="J46" s="22"/>
    </row>
    <row r="47" spans="2:10" x14ac:dyDescent="0.25">
      <c r="C47" s="6">
        <v>12</v>
      </c>
      <c r="D47" s="12">
        <v>2</v>
      </c>
      <c r="E47" s="18">
        <v>0</v>
      </c>
      <c r="G47" s="18">
        <v>0</v>
      </c>
      <c r="H47" s="22"/>
      <c r="I47" s="18"/>
      <c r="J47" s="22"/>
    </row>
    <row r="48" spans="2:10" x14ac:dyDescent="0.25">
      <c r="C48" s="6">
        <v>13</v>
      </c>
      <c r="D48" s="12">
        <v>2</v>
      </c>
      <c r="E48" s="18">
        <v>0</v>
      </c>
      <c r="G48" s="18">
        <v>0</v>
      </c>
      <c r="H48" s="22"/>
      <c r="I48" s="18"/>
      <c r="J48" s="22"/>
    </row>
    <row r="49" spans="3:10" x14ac:dyDescent="0.25">
      <c r="C49" s="6">
        <v>14</v>
      </c>
      <c r="D49" s="12">
        <v>2</v>
      </c>
      <c r="E49" s="18">
        <v>0</v>
      </c>
      <c r="G49" s="18">
        <v>0</v>
      </c>
      <c r="H49" s="22"/>
      <c r="I49" s="18"/>
      <c r="J49" s="22"/>
    </row>
    <row r="50" spans="3:10" x14ac:dyDescent="0.25">
      <c r="C50" s="6">
        <v>15</v>
      </c>
      <c r="D50" s="12">
        <v>2</v>
      </c>
      <c r="E50" s="18">
        <v>0</v>
      </c>
      <c r="G50" s="18">
        <v>0</v>
      </c>
      <c r="H50" s="22"/>
      <c r="I50" s="18"/>
      <c r="J50" s="22"/>
    </row>
    <row r="51" spans="3:10" x14ac:dyDescent="0.25">
      <c r="C51" s="6">
        <v>20</v>
      </c>
      <c r="D51" s="12">
        <v>2</v>
      </c>
      <c r="E51" s="18">
        <v>0</v>
      </c>
      <c r="G51" s="18">
        <v>0</v>
      </c>
      <c r="H51" s="22"/>
      <c r="I51" s="18"/>
      <c r="J51" s="22"/>
    </row>
    <row r="52" spans="3:10" x14ac:dyDescent="0.25">
      <c r="C52" s="6">
        <v>28</v>
      </c>
      <c r="D52" s="12">
        <v>2</v>
      </c>
      <c r="E52" s="18">
        <v>0</v>
      </c>
      <c r="G52" s="18">
        <v>1</v>
      </c>
      <c r="H52" s="22"/>
      <c r="I52" s="18"/>
      <c r="J52" s="22"/>
    </row>
    <row r="53" spans="3:10" x14ac:dyDescent="0.25">
      <c r="C53" s="6">
        <v>38</v>
      </c>
      <c r="D53" s="12">
        <v>2</v>
      </c>
      <c r="E53" s="18">
        <v>0</v>
      </c>
      <c r="G53" s="18">
        <v>0</v>
      </c>
      <c r="H53" s="22"/>
      <c r="I53" s="18"/>
      <c r="J53" s="22"/>
    </row>
    <row r="54" spans="3:10" x14ac:dyDescent="0.25">
      <c r="C54" s="6">
        <v>39</v>
      </c>
      <c r="D54" s="12">
        <v>2</v>
      </c>
      <c r="E54" s="18">
        <v>0</v>
      </c>
      <c r="G54" s="18">
        <v>0</v>
      </c>
      <c r="H54" s="22"/>
      <c r="I54" s="18"/>
      <c r="J54" s="22"/>
    </row>
    <row r="55" spans="3:10" x14ac:dyDescent="0.25">
      <c r="C55" s="6">
        <v>45</v>
      </c>
      <c r="D55" s="12">
        <v>2</v>
      </c>
      <c r="E55" s="18">
        <v>0</v>
      </c>
      <c r="G55" s="18">
        <v>0</v>
      </c>
      <c r="H55" s="22"/>
      <c r="I55" s="18"/>
      <c r="J55" s="22"/>
    </row>
    <row r="56" spans="3:10" x14ac:dyDescent="0.25">
      <c r="C56" s="13">
        <v>46</v>
      </c>
      <c r="D56" s="10">
        <v>2</v>
      </c>
      <c r="E56" s="18">
        <v>0</v>
      </c>
      <c r="G56" s="18">
        <v>1</v>
      </c>
      <c r="H56" s="22"/>
      <c r="I56" s="18"/>
      <c r="J56" s="22"/>
    </row>
    <row r="57" spans="3:10" x14ac:dyDescent="0.25">
      <c r="C57" s="31">
        <v>1</v>
      </c>
      <c r="D57" s="32">
        <v>4</v>
      </c>
      <c r="E57" s="18">
        <v>0</v>
      </c>
      <c r="G57" s="18">
        <v>0</v>
      </c>
      <c r="H57" s="22"/>
      <c r="I57" s="18"/>
      <c r="J57" s="22"/>
    </row>
    <row r="58" spans="3:10" x14ac:dyDescent="0.25">
      <c r="C58" s="6">
        <v>2</v>
      </c>
      <c r="D58" s="12">
        <v>4</v>
      </c>
      <c r="E58" s="18">
        <v>0</v>
      </c>
      <c r="G58" s="18">
        <v>0</v>
      </c>
      <c r="H58" s="22"/>
      <c r="I58" s="18"/>
      <c r="J58" s="22"/>
    </row>
    <row r="59" spans="3:10" x14ac:dyDescent="0.25">
      <c r="C59" s="6">
        <v>3</v>
      </c>
      <c r="D59" s="12">
        <v>4</v>
      </c>
      <c r="E59" s="18">
        <v>0</v>
      </c>
      <c r="G59" s="18">
        <v>0</v>
      </c>
      <c r="H59" s="22"/>
      <c r="I59" s="18"/>
      <c r="J59" s="22"/>
    </row>
    <row r="60" spans="3:10" x14ac:dyDescent="0.25">
      <c r="C60" s="6">
        <v>4</v>
      </c>
      <c r="D60" s="12">
        <v>4</v>
      </c>
      <c r="E60" s="18">
        <v>0</v>
      </c>
      <c r="G60" s="18">
        <v>0</v>
      </c>
      <c r="H60" s="22"/>
      <c r="I60" s="18"/>
      <c r="J60" s="22"/>
    </row>
    <row r="61" spans="3:10" x14ac:dyDescent="0.25">
      <c r="C61" s="6">
        <v>5</v>
      </c>
      <c r="D61" s="12">
        <v>4</v>
      </c>
      <c r="E61" s="18">
        <v>0</v>
      </c>
      <c r="G61" s="18">
        <v>0</v>
      </c>
      <c r="H61" s="22"/>
      <c r="I61" s="18"/>
      <c r="J61" s="22"/>
    </row>
    <row r="62" spans="3:10" x14ac:dyDescent="0.25">
      <c r="C62" s="6">
        <v>6</v>
      </c>
      <c r="D62" s="12">
        <v>4</v>
      </c>
      <c r="E62" s="18">
        <v>0</v>
      </c>
      <c r="G62" s="18">
        <v>0</v>
      </c>
      <c r="H62" s="22"/>
      <c r="I62" s="18"/>
      <c r="J62" s="22"/>
    </row>
    <row r="63" spans="3:10" x14ac:dyDescent="0.25">
      <c r="C63" s="6">
        <v>7</v>
      </c>
      <c r="D63" s="12">
        <v>4</v>
      </c>
      <c r="E63" s="18">
        <v>0</v>
      </c>
      <c r="G63" s="18">
        <v>0</v>
      </c>
      <c r="H63" s="22"/>
      <c r="I63" s="18"/>
      <c r="J63" s="22"/>
    </row>
    <row r="64" spans="3:10" x14ac:dyDescent="0.25">
      <c r="C64" s="6">
        <v>8</v>
      </c>
      <c r="D64" s="12">
        <v>4</v>
      </c>
      <c r="E64" s="18">
        <v>0</v>
      </c>
      <c r="G64" s="18">
        <v>0</v>
      </c>
      <c r="H64" s="22"/>
      <c r="I64" s="18"/>
      <c r="J64" s="22"/>
    </row>
    <row r="65" spans="3:10" x14ac:dyDescent="0.25">
      <c r="C65" s="6">
        <v>9</v>
      </c>
      <c r="D65" s="12">
        <v>4</v>
      </c>
      <c r="E65" s="18">
        <v>0</v>
      </c>
      <c r="G65" s="18">
        <v>0</v>
      </c>
      <c r="H65" s="22"/>
      <c r="I65" s="18"/>
      <c r="J65" s="22"/>
    </row>
    <row r="66" spans="3:10" x14ac:dyDescent="0.25">
      <c r="C66" s="6">
        <v>10</v>
      </c>
      <c r="D66" s="12">
        <v>4</v>
      </c>
      <c r="E66" s="18">
        <v>0</v>
      </c>
      <c r="G66" s="18">
        <v>0</v>
      </c>
      <c r="H66" s="22"/>
      <c r="I66" s="18"/>
      <c r="J66" s="22"/>
    </row>
    <row r="67" spans="3:10" x14ac:dyDescent="0.25">
      <c r="C67" s="6">
        <v>11</v>
      </c>
      <c r="D67" s="12">
        <v>4</v>
      </c>
      <c r="E67" s="18">
        <v>0</v>
      </c>
      <c r="G67" s="18">
        <v>0</v>
      </c>
      <c r="H67" s="22"/>
      <c r="I67" s="18"/>
      <c r="J67" s="22"/>
    </row>
    <row r="68" spans="3:10" x14ac:dyDescent="0.25">
      <c r="C68" s="6">
        <v>12</v>
      </c>
      <c r="D68" s="12">
        <v>4</v>
      </c>
      <c r="E68" s="18">
        <v>0</v>
      </c>
      <c r="G68" s="18">
        <v>0</v>
      </c>
      <c r="H68" s="22"/>
      <c r="I68" s="18"/>
      <c r="J68" s="22"/>
    </row>
    <row r="69" spans="3:10" x14ac:dyDescent="0.25">
      <c r="C69" s="6">
        <v>13</v>
      </c>
      <c r="D69" s="12">
        <v>4</v>
      </c>
      <c r="E69" s="18">
        <v>0</v>
      </c>
      <c r="G69" s="18">
        <v>0</v>
      </c>
      <c r="H69" s="22"/>
      <c r="I69" s="18"/>
      <c r="J69" s="22"/>
    </row>
    <row r="70" spans="3:10" x14ac:dyDescent="0.25">
      <c r="C70" s="6">
        <v>14</v>
      </c>
      <c r="D70" s="12">
        <v>4</v>
      </c>
      <c r="E70" s="18">
        <v>0</v>
      </c>
      <c r="G70" s="18">
        <v>0</v>
      </c>
      <c r="H70" s="22"/>
      <c r="I70" s="18"/>
      <c r="J70" s="22"/>
    </row>
    <row r="71" spans="3:10" x14ac:dyDescent="0.25">
      <c r="C71" s="6">
        <v>15</v>
      </c>
      <c r="D71" s="12">
        <v>4</v>
      </c>
      <c r="E71" s="18">
        <v>0</v>
      </c>
      <c r="G71" s="18">
        <v>0</v>
      </c>
      <c r="H71" s="22"/>
      <c r="I71" s="18"/>
      <c r="J71" s="22"/>
    </row>
    <row r="72" spans="3:10" x14ac:dyDescent="0.25">
      <c r="C72" s="6">
        <v>20</v>
      </c>
      <c r="D72" s="12">
        <v>4</v>
      </c>
      <c r="E72" s="18">
        <v>0</v>
      </c>
      <c r="G72" s="18">
        <v>0</v>
      </c>
      <c r="H72" s="22"/>
      <c r="I72" s="18"/>
      <c r="J72" s="22"/>
    </row>
    <row r="73" spans="3:10" x14ac:dyDescent="0.25">
      <c r="C73" s="6">
        <v>28</v>
      </c>
      <c r="D73" s="12">
        <v>4</v>
      </c>
      <c r="E73" s="18">
        <v>0</v>
      </c>
      <c r="G73" s="18">
        <v>0</v>
      </c>
      <c r="H73" s="22"/>
      <c r="I73" s="18"/>
      <c r="J73" s="22"/>
    </row>
    <row r="74" spans="3:10" x14ac:dyDescent="0.25">
      <c r="C74" s="6">
        <v>38</v>
      </c>
      <c r="D74" s="12">
        <v>4</v>
      </c>
      <c r="E74" s="18">
        <v>0</v>
      </c>
      <c r="G74" s="18">
        <v>1</v>
      </c>
      <c r="H74" s="22"/>
      <c r="I74" s="18"/>
      <c r="J74" s="22"/>
    </row>
    <row r="75" spans="3:10" x14ac:dyDescent="0.25">
      <c r="C75" s="6">
        <v>39</v>
      </c>
      <c r="D75" s="12">
        <v>4</v>
      </c>
      <c r="E75" s="18">
        <v>0</v>
      </c>
      <c r="G75" s="18">
        <v>1</v>
      </c>
      <c r="H75" s="22"/>
      <c r="I75" s="18"/>
      <c r="J75" s="22"/>
    </row>
    <row r="76" spans="3:10" x14ac:dyDescent="0.25">
      <c r="C76" s="6">
        <v>45</v>
      </c>
      <c r="D76" s="12">
        <v>4</v>
      </c>
      <c r="E76" s="18">
        <v>0</v>
      </c>
      <c r="G76" s="18">
        <v>0</v>
      </c>
      <c r="H76" s="22"/>
      <c r="I76" s="18"/>
      <c r="J76" s="22"/>
    </row>
    <row r="77" spans="3:10" x14ac:dyDescent="0.25">
      <c r="C77" s="13">
        <v>46</v>
      </c>
      <c r="D77" s="10">
        <v>4</v>
      </c>
      <c r="E77" s="18">
        <v>0</v>
      </c>
      <c r="G77" s="18">
        <v>0</v>
      </c>
      <c r="H77" s="22"/>
      <c r="I77" s="18"/>
      <c r="J77" s="22"/>
    </row>
    <row r="78" spans="3:10" x14ac:dyDescent="0.25">
      <c r="C78" s="31">
        <v>1</v>
      </c>
      <c r="D78" s="32">
        <v>6</v>
      </c>
      <c r="E78" s="18">
        <v>0</v>
      </c>
      <c r="G78" s="18">
        <v>0</v>
      </c>
      <c r="H78" s="22"/>
      <c r="I78" s="18"/>
      <c r="J78" s="22"/>
    </row>
    <row r="79" spans="3:10" x14ac:dyDescent="0.25">
      <c r="C79" s="6">
        <v>2</v>
      </c>
      <c r="D79" s="12">
        <v>6</v>
      </c>
      <c r="E79" s="18">
        <v>0</v>
      </c>
      <c r="G79" s="18">
        <v>0</v>
      </c>
      <c r="H79" s="22"/>
      <c r="I79" s="18"/>
      <c r="J79" s="22"/>
    </row>
    <row r="80" spans="3:10" x14ac:dyDescent="0.25">
      <c r="C80" s="6">
        <v>3</v>
      </c>
      <c r="D80" s="12">
        <v>6</v>
      </c>
      <c r="E80" s="18">
        <v>0</v>
      </c>
      <c r="G80" s="18">
        <v>0</v>
      </c>
      <c r="H80" s="22"/>
      <c r="I80" s="18"/>
      <c r="J80" s="22"/>
    </row>
    <row r="81" spans="3:10" x14ac:dyDescent="0.25">
      <c r="C81" s="6">
        <v>4</v>
      </c>
      <c r="D81" s="12">
        <v>6</v>
      </c>
      <c r="E81" s="18">
        <v>0</v>
      </c>
      <c r="G81" s="18">
        <v>0</v>
      </c>
      <c r="H81" s="22"/>
      <c r="I81" s="18"/>
      <c r="J81" s="22"/>
    </row>
    <row r="82" spans="3:10" x14ac:dyDescent="0.25">
      <c r="C82" s="6">
        <v>5</v>
      </c>
      <c r="D82" s="12">
        <v>6</v>
      </c>
      <c r="E82" s="18">
        <v>0</v>
      </c>
      <c r="G82" s="18">
        <v>0</v>
      </c>
      <c r="H82" s="22"/>
      <c r="I82" s="18"/>
      <c r="J82" s="22"/>
    </row>
    <row r="83" spans="3:10" x14ac:dyDescent="0.25">
      <c r="C83" s="6">
        <v>6</v>
      </c>
      <c r="D83" s="12">
        <v>6</v>
      </c>
      <c r="E83" s="18">
        <v>0</v>
      </c>
      <c r="G83" s="18">
        <v>0</v>
      </c>
      <c r="H83" s="22"/>
      <c r="I83" s="18"/>
      <c r="J83" s="22"/>
    </row>
    <row r="84" spans="3:10" x14ac:dyDescent="0.25">
      <c r="C84" s="6">
        <v>7</v>
      </c>
      <c r="D84" s="12">
        <v>6</v>
      </c>
      <c r="E84" s="18">
        <v>0</v>
      </c>
      <c r="G84" s="18">
        <v>0</v>
      </c>
      <c r="H84" s="22"/>
      <c r="I84" s="18"/>
      <c r="J84" s="22"/>
    </row>
    <row r="85" spans="3:10" x14ac:dyDescent="0.25">
      <c r="C85" s="6">
        <v>8</v>
      </c>
      <c r="D85" s="12">
        <v>6</v>
      </c>
      <c r="E85" s="18">
        <v>0</v>
      </c>
      <c r="G85" s="18">
        <v>0</v>
      </c>
      <c r="H85" s="22"/>
      <c r="I85" s="18"/>
      <c r="J85" s="22"/>
    </row>
    <row r="86" spans="3:10" x14ac:dyDescent="0.25">
      <c r="C86" s="6">
        <v>9</v>
      </c>
      <c r="D86" s="12">
        <v>6</v>
      </c>
      <c r="E86" s="18">
        <v>0</v>
      </c>
      <c r="G86" s="18">
        <v>0</v>
      </c>
      <c r="H86" s="22"/>
      <c r="I86" s="18"/>
      <c r="J86" s="22"/>
    </row>
    <row r="87" spans="3:10" x14ac:dyDescent="0.25">
      <c r="C87" s="6">
        <v>10</v>
      </c>
      <c r="D87" s="12">
        <v>6</v>
      </c>
      <c r="E87" s="18">
        <v>0</v>
      </c>
      <c r="G87" s="18">
        <v>0</v>
      </c>
      <c r="H87" s="22"/>
      <c r="I87" s="18"/>
      <c r="J87" s="22"/>
    </row>
    <row r="88" spans="3:10" x14ac:dyDescent="0.25">
      <c r="C88" s="6">
        <v>11</v>
      </c>
      <c r="D88" s="12">
        <v>6</v>
      </c>
      <c r="E88" s="18">
        <v>0</v>
      </c>
      <c r="G88" s="18">
        <v>0</v>
      </c>
      <c r="H88" s="22"/>
      <c r="I88" s="18"/>
      <c r="J88" s="22"/>
    </row>
    <row r="89" spans="3:10" x14ac:dyDescent="0.25">
      <c r="C89" s="6">
        <v>12</v>
      </c>
      <c r="D89" s="12">
        <v>6</v>
      </c>
      <c r="E89" s="18">
        <v>0</v>
      </c>
      <c r="G89" s="18">
        <v>0</v>
      </c>
      <c r="H89" s="22"/>
      <c r="I89" s="18"/>
      <c r="J89" s="22"/>
    </row>
    <row r="90" spans="3:10" x14ac:dyDescent="0.25">
      <c r="C90" s="6">
        <v>13</v>
      </c>
      <c r="D90" s="12">
        <v>6</v>
      </c>
      <c r="E90" s="18">
        <v>0</v>
      </c>
      <c r="G90" s="18">
        <v>0</v>
      </c>
      <c r="H90" s="22"/>
      <c r="I90" s="18"/>
      <c r="J90" s="22"/>
    </row>
    <row r="91" spans="3:10" x14ac:dyDescent="0.25">
      <c r="C91" s="6">
        <v>14</v>
      </c>
      <c r="D91" s="12">
        <v>6</v>
      </c>
      <c r="E91" s="18">
        <v>0</v>
      </c>
      <c r="G91" s="18">
        <v>0</v>
      </c>
      <c r="H91" s="22"/>
      <c r="I91" s="18"/>
      <c r="J91" s="22"/>
    </row>
    <row r="92" spans="3:10" x14ac:dyDescent="0.25">
      <c r="C92" s="6">
        <v>15</v>
      </c>
      <c r="D92" s="12">
        <v>6</v>
      </c>
      <c r="E92" s="18">
        <v>0</v>
      </c>
      <c r="G92" s="18">
        <v>0</v>
      </c>
      <c r="H92" s="22"/>
      <c r="I92" s="18"/>
      <c r="J92" s="22"/>
    </row>
    <row r="93" spans="3:10" x14ac:dyDescent="0.25">
      <c r="C93" s="6">
        <v>20</v>
      </c>
      <c r="D93" s="12">
        <v>6</v>
      </c>
      <c r="E93" s="18">
        <v>0</v>
      </c>
      <c r="G93" s="18">
        <v>0</v>
      </c>
      <c r="H93" s="22"/>
      <c r="I93" s="18"/>
      <c r="J93" s="22"/>
    </row>
    <row r="94" spans="3:10" x14ac:dyDescent="0.25">
      <c r="C94" s="6">
        <v>28</v>
      </c>
      <c r="D94" s="12">
        <v>6</v>
      </c>
      <c r="E94" s="18">
        <v>0</v>
      </c>
      <c r="G94" s="18">
        <v>0</v>
      </c>
      <c r="H94" s="22"/>
      <c r="I94" s="18"/>
      <c r="J94" s="22"/>
    </row>
    <row r="95" spans="3:10" x14ac:dyDescent="0.25">
      <c r="C95" s="6">
        <v>38</v>
      </c>
      <c r="D95" s="12">
        <v>6</v>
      </c>
      <c r="E95" s="18">
        <v>0</v>
      </c>
      <c r="G95" s="18">
        <v>0</v>
      </c>
      <c r="H95" s="22"/>
      <c r="I95" s="18"/>
      <c r="J95" s="22"/>
    </row>
    <row r="96" spans="3:10" x14ac:dyDescent="0.25">
      <c r="C96" s="6">
        <v>39</v>
      </c>
      <c r="D96" s="12">
        <v>6</v>
      </c>
      <c r="E96" s="18">
        <v>0</v>
      </c>
      <c r="G96" s="18">
        <v>0</v>
      </c>
      <c r="H96" s="22"/>
      <c r="I96" s="18"/>
      <c r="J96" s="22"/>
    </row>
    <row r="97" spans="3:10" x14ac:dyDescent="0.25">
      <c r="C97" s="6">
        <v>45</v>
      </c>
      <c r="D97" s="12">
        <v>6</v>
      </c>
      <c r="E97" s="18">
        <v>0</v>
      </c>
      <c r="G97" s="18">
        <v>0</v>
      </c>
      <c r="H97" s="22"/>
      <c r="I97" s="18"/>
      <c r="J97" s="22"/>
    </row>
    <row r="98" spans="3:10" x14ac:dyDescent="0.25">
      <c r="C98" s="13">
        <v>46</v>
      </c>
      <c r="D98" s="10">
        <v>6</v>
      </c>
      <c r="E98" s="18">
        <v>0</v>
      </c>
      <c r="G98" s="18">
        <v>0</v>
      </c>
      <c r="H98" s="22"/>
      <c r="I98" s="18"/>
      <c r="J98" s="22"/>
    </row>
    <row r="99" spans="3:10" x14ac:dyDescent="0.25">
      <c r="C99" s="31">
        <v>1</v>
      </c>
      <c r="D99" s="32">
        <v>9</v>
      </c>
      <c r="E99" s="18">
        <v>0</v>
      </c>
      <c r="G99" s="18">
        <v>0</v>
      </c>
      <c r="H99" s="22"/>
      <c r="I99" s="18"/>
      <c r="J99" s="22"/>
    </row>
    <row r="100" spans="3:10" x14ac:dyDescent="0.25">
      <c r="C100" s="6">
        <v>2</v>
      </c>
      <c r="D100" s="12">
        <v>9</v>
      </c>
      <c r="E100" s="18">
        <v>0</v>
      </c>
      <c r="G100" s="18">
        <v>0</v>
      </c>
      <c r="H100" s="22"/>
      <c r="I100" s="18"/>
      <c r="J100" s="22"/>
    </row>
    <row r="101" spans="3:10" x14ac:dyDescent="0.25">
      <c r="C101" s="6">
        <v>3</v>
      </c>
      <c r="D101" s="12">
        <v>9</v>
      </c>
      <c r="E101" s="18">
        <v>0</v>
      </c>
      <c r="G101" s="18">
        <v>0</v>
      </c>
      <c r="H101" s="22"/>
      <c r="I101" s="18"/>
      <c r="J101" s="22"/>
    </row>
    <row r="102" spans="3:10" x14ac:dyDescent="0.25">
      <c r="C102" s="6">
        <v>4</v>
      </c>
      <c r="D102" s="12">
        <v>9</v>
      </c>
      <c r="E102" s="18">
        <v>0</v>
      </c>
      <c r="G102" s="18">
        <v>0</v>
      </c>
      <c r="H102" s="22"/>
      <c r="I102" s="18"/>
      <c r="J102" s="22"/>
    </row>
    <row r="103" spans="3:10" x14ac:dyDescent="0.25">
      <c r="C103" s="6">
        <v>5</v>
      </c>
      <c r="D103" s="12">
        <v>9</v>
      </c>
      <c r="E103" s="18">
        <v>0</v>
      </c>
      <c r="G103" s="18">
        <v>0</v>
      </c>
      <c r="H103" s="22"/>
      <c r="I103" s="18"/>
      <c r="J103" s="22"/>
    </row>
    <row r="104" spans="3:10" x14ac:dyDescent="0.25">
      <c r="C104" s="6">
        <v>6</v>
      </c>
      <c r="D104" s="12">
        <v>9</v>
      </c>
      <c r="E104" s="18">
        <v>0</v>
      </c>
      <c r="G104" s="18">
        <v>0</v>
      </c>
      <c r="H104" s="22"/>
      <c r="I104" s="18"/>
      <c r="J104" s="22"/>
    </row>
    <row r="105" spans="3:10" x14ac:dyDescent="0.25">
      <c r="C105" s="6">
        <v>7</v>
      </c>
      <c r="D105" s="12">
        <v>9</v>
      </c>
      <c r="E105" s="18">
        <v>0</v>
      </c>
      <c r="G105" s="18">
        <v>0</v>
      </c>
      <c r="H105" s="22"/>
      <c r="I105" s="18"/>
      <c r="J105" s="22"/>
    </row>
    <row r="106" spans="3:10" x14ac:dyDescent="0.25">
      <c r="C106" s="6">
        <v>8</v>
      </c>
      <c r="D106" s="12">
        <v>9</v>
      </c>
      <c r="E106" s="18">
        <v>0</v>
      </c>
      <c r="G106" s="18">
        <v>0</v>
      </c>
      <c r="H106" s="22"/>
      <c r="I106" s="18"/>
      <c r="J106" s="22"/>
    </row>
    <row r="107" spans="3:10" x14ac:dyDescent="0.25">
      <c r="C107" s="6">
        <v>9</v>
      </c>
      <c r="D107" s="12">
        <v>9</v>
      </c>
      <c r="E107" s="18">
        <v>0</v>
      </c>
      <c r="G107" s="18">
        <v>0</v>
      </c>
      <c r="H107" s="22"/>
      <c r="I107" s="18"/>
      <c r="J107" s="22"/>
    </row>
    <row r="108" spans="3:10" x14ac:dyDescent="0.25">
      <c r="C108" s="6">
        <v>10</v>
      </c>
      <c r="D108" s="12">
        <v>9</v>
      </c>
      <c r="E108" s="18">
        <v>0</v>
      </c>
      <c r="G108" s="18">
        <v>0</v>
      </c>
      <c r="H108" s="22"/>
      <c r="I108" s="18"/>
      <c r="J108" s="22"/>
    </row>
    <row r="109" spans="3:10" x14ac:dyDescent="0.25">
      <c r="C109" s="6">
        <v>11</v>
      </c>
      <c r="D109" s="12">
        <v>9</v>
      </c>
      <c r="E109" s="18">
        <v>0</v>
      </c>
      <c r="G109" s="18">
        <v>0</v>
      </c>
      <c r="H109" s="22"/>
      <c r="I109" s="18"/>
      <c r="J109" s="22"/>
    </row>
    <row r="110" spans="3:10" x14ac:dyDescent="0.25">
      <c r="C110" s="6">
        <v>12</v>
      </c>
      <c r="D110" s="12">
        <v>9</v>
      </c>
      <c r="E110" s="18">
        <v>0</v>
      </c>
      <c r="G110" s="18">
        <v>0</v>
      </c>
      <c r="H110" s="22"/>
      <c r="I110" s="18"/>
      <c r="J110" s="22"/>
    </row>
    <row r="111" spans="3:10" x14ac:dyDescent="0.25">
      <c r="C111" s="6">
        <v>13</v>
      </c>
      <c r="D111" s="12">
        <v>9</v>
      </c>
      <c r="E111" s="18">
        <v>0</v>
      </c>
      <c r="G111" s="18">
        <v>0</v>
      </c>
      <c r="H111" s="22"/>
      <c r="I111" s="18"/>
      <c r="J111" s="22"/>
    </row>
    <row r="112" spans="3:10" x14ac:dyDescent="0.25">
      <c r="C112" s="6">
        <v>14</v>
      </c>
      <c r="D112" s="12">
        <v>9</v>
      </c>
      <c r="E112" s="18">
        <v>0</v>
      </c>
      <c r="G112" s="18">
        <v>0</v>
      </c>
      <c r="H112" s="22"/>
      <c r="I112" s="18"/>
      <c r="J112" s="22"/>
    </row>
    <row r="113" spans="3:10" x14ac:dyDescent="0.25">
      <c r="C113" s="6">
        <v>15</v>
      </c>
      <c r="D113" s="12">
        <v>9</v>
      </c>
      <c r="E113" s="18">
        <v>0</v>
      </c>
      <c r="G113" s="18">
        <v>0</v>
      </c>
      <c r="H113" s="22"/>
      <c r="I113" s="18"/>
      <c r="J113" s="22"/>
    </row>
    <row r="114" spans="3:10" x14ac:dyDescent="0.25">
      <c r="C114" s="6">
        <v>20</v>
      </c>
      <c r="D114" s="12">
        <v>9</v>
      </c>
      <c r="E114" s="18">
        <v>0</v>
      </c>
      <c r="G114" s="18">
        <v>0</v>
      </c>
      <c r="H114" s="22"/>
      <c r="I114" s="18"/>
      <c r="J114" s="22"/>
    </row>
    <row r="115" spans="3:10" x14ac:dyDescent="0.25">
      <c r="C115" s="6">
        <v>28</v>
      </c>
      <c r="D115" s="12">
        <v>9</v>
      </c>
      <c r="E115" s="18">
        <v>0</v>
      </c>
      <c r="G115" s="18">
        <v>0</v>
      </c>
      <c r="H115" s="22"/>
      <c r="I115" s="18"/>
      <c r="J115" s="22"/>
    </row>
    <row r="116" spans="3:10" x14ac:dyDescent="0.25">
      <c r="C116" s="6">
        <v>38</v>
      </c>
      <c r="D116" s="12">
        <v>9</v>
      </c>
      <c r="E116" s="18">
        <v>0</v>
      </c>
      <c r="G116" s="18">
        <v>0</v>
      </c>
      <c r="H116" s="22"/>
      <c r="I116" s="18"/>
      <c r="J116" s="22"/>
    </row>
    <row r="117" spans="3:10" x14ac:dyDescent="0.25">
      <c r="C117" s="6">
        <v>39</v>
      </c>
      <c r="D117" s="12">
        <v>9</v>
      </c>
      <c r="E117" s="18">
        <v>0</v>
      </c>
      <c r="G117" s="18">
        <v>0</v>
      </c>
      <c r="H117" s="22"/>
      <c r="I117" s="18"/>
      <c r="J117" s="22"/>
    </row>
    <row r="118" spans="3:10" x14ac:dyDescent="0.25">
      <c r="C118" s="6">
        <v>45</v>
      </c>
      <c r="D118" s="12">
        <v>9</v>
      </c>
      <c r="E118" s="18">
        <v>0</v>
      </c>
      <c r="G118" s="18">
        <v>1</v>
      </c>
      <c r="H118" s="22"/>
      <c r="I118" s="18"/>
      <c r="J118" s="22"/>
    </row>
    <row r="119" spans="3:10" x14ac:dyDescent="0.25">
      <c r="C119" s="13">
        <v>46</v>
      </c>
      <c r="D119" s="10">
        <v>9</v>
      </c>
      <c r="E119" s="18">
        <v>0</v>
      </c>
      <c r="G119" s="18">
        <v>0</v>
      </c>
      <c r="H119" s="22"/>
      <c r="I119" s="18"/>
      <c r="J119" s="22"/>
    </row>
    <row r="120" spans="3:10" x14ac:dyDescent="0.25">
      <c r="C120" s="31">
        <v>1</v>
      </c>
      <c r="D120" s="32">
        <v>10</v>
      </c>
      <c r="E120" s="18">
        <v>0</v>
      </c>
      <c r="G120" s="18">
        <v>0</v>
      </c>
      <c r="H120" s="22"/>
      <c r="I120" s="18"/>
      <c r="J120" s="22"/>
    </row>
    <row r="121" spans="3:10" x14ac:dyDescent="0.25">
      <c r="C121" s="6">
        <v>2</v>
      </c>
      <c r="D121" s="12">
        <v>10</v>
      </c>
      <c r="E121" s="18">
        <v>0</v>
      </c>
      <c r="G121" s="18">
        <v>0</v>
      </c>
      <c r="H121" s="22"/>
      <c r="I121" s="18"/>
      <c r="J121" s="22"/>
    </row>
    <row r="122" spans="3:10" x14ac:dyDescent="0.25">
      <c r="C122" s="6">
        <v>3</v>
      </c>
      <c r="D122" s="12">
        <v>10</v>
      </c>
      <c r="E122" s="18">
        <v>0</v>
      </c>
      <c r="G122" s="18">
        <v>0</v>
      </c>
      <c r="H122" s="22"/>
      <c r="I122" s="18"/>
      <c r="J122" s="22"/>
    </row>
    <row r="123" spans="3:10" x14ac:dyDescent="0.25">
      <c r="C123" s="6">
        <v>4</v>
      </c>
      <c r="D123" s="12">
        <v>10</v>
      </c>
      <c r="E123" s="18">
        <v>0</v>
      </c>
      <c r="G123" s="18">
        <v>0</v>
      </c>
      <c r="H123" s="22"/>
      <c r="I123" s="18"/>
      <c r="J123" s="22"/>
    </row>
    <row r="124" spans="3:10" x14ac:dyDescent="0.25">
      <c r="C124" s="6">
        <v>5</v>
      </c>
      <c r="D124" s="12">
        <v>10</v>
      </c>
      <c r="E124" s="18">
        <v>0</v>
      </c>
      <c r="G124" s="18">
        <v>0</v>
      </c>
      <c r="H124" s="22"/>
      <c r="I124" s="18"/>
      <c r="J124" s="22"/>
    </row>
    <row r="125" spans="3:10" x14ac:dyDescent="0.25">
      <c r="C125" s="6">
        <v>6</v>
      </c>
      <c r="D125" s="12">
        <v>10</v>
      </c>
      <c r="E125" s="18">
        <v>0</v>
      </c>
      <c r="G125" s="18">
        <v>0</v>
      </c>
      <c r="H125" s="22"/>
      <c r="I125" s="18"/>
      <c r="J125" s="22"/>
    </row>
    <row r="126" spans="3:10" x14ac:dyDescent="0.25">
      <c r="C126" s="6">
        <v>7</v>
      </c>
      <c r="D126" s="12">
        <v>10</v>
      </c>
      <c r="E126" s="18">
        <v>0</v>
      </c>
      <c r="G126" s="18">
        <v>0</v>
      </c>
      <c r="H126" s="22"/>
      <c r="I126" s="18"/>
      <c r="J126" s="22"/>
    </row>
    <row r="127" spans="3:10" x14ac:dyDescent="0.25">
      <c r="C127" s="6">
        <v>8</v>
      </c>
      <c r="D127" s="12">
        <v>10</v>
      </c>
      <c r="E127" s="18">
        <v>0</v>
      </c>
      <c r="G127" s="18">
        <v>0</v>
      </c>
      <c r="H127" s="22"/>
      <c r="I127" s="18"/>
      <c r="J127" s="22"/>
    </row>
    <row r="128" spans="3:10" x14ac:dyDescent="0.25">
      <c r="C128" s="6">
        <v>9</v>
      </c>
      <c r="D128" s="12">
        <v>10</v>
      </c>
      <c r="E128" s="18">
        <v>0</v>
      </c>
      <c r="G128" s="18">
        <v>0</v>
      </c>
      <c r="H128" s="22"/>
      <c r="I128" s="18"/>
      <c r="J128" s="22"/>
    </row>
    <row r="129" spans="3:10" x14ac:dyDescent="0.25">
      <c r="C129" s="6">
        <v>10</v>
      </c>
      <c r="D129" s="12">
        <v>10</v>
      </c>
      <c r="E129" s="18">
        <v>0</v>
      </c>
      <c r="G129" s="18">
        <v>0</v>
      </c>
      <c r="H129" s="22"/>
      <c r="I129" s="18"/>
      <c r="J129" s="22"/>
    </row>
    <row r="130" spans="3:10" x14ac:dyDescent="0.25">
      <c r="C130" s="6">
        <v>11</v>
      </c>
      <c r="D130" s="12">
        <v>10</v>
      </c>
      <c r="E130" s="18">
        <v>0</v>
      </c>
      <c r="G130" s="18">
        <v>0</v>
      </c>
      <c r="H130" s="22"/>
      <c r="I130" s="18"/>
      <c r="J130" s="22"/>
    </row>
    <row r="131" spans="3:10" x14ac:dyDescent="0.25">
      <c r="C131" s="6">
        <v>12</v>
      </c>
      <c r="D131" s="12">
        <v>10</v>
      </c>
      <c r="E131" s="18">
        <v>0</v>
      </c>
      <c r="G131" s="18">
        <v>0</v>
      </c>
      <c r="H131" s="22"/>
      <c r="I131" s="18"/>
      <c r="J131" s="22"/>
    </row>
    <row r="132" spans="3:10" x14ac:dyDescent="0.25">
      <c r="C132" s="6">
        <v>13</v>
      </c>
      <c r="D132" s="12">
        <v>10</v>
      </c>
      <c r="E132" s="18">
        <v>0</v>
      </c>
      <c r="G132" s="18">
        <v>0</v>
      </c>
      <c r="H132" s="22"/>
      <c r="I132" s="18"/>
      <c r="J132" s="22"/>
    </row>
    <row r="133" spans="3:10" x14ac:dyDescent="0.25">
      <c r="C133" s="6">
        <v>14</v>
      </c>
      <c r="D133" s="12">
        <v>10</v>
      </c>
      <c r="E133" s="18">
        <v>0</v>
      </c>
      <c r="G133" s="18">
        <v>0</v>
      </c>
      <c r="H133" s="22"/>
      <c r="I133" s="18"/>
      <c r="J133" s="22"/>
    </row>
    <row r="134" spans="3:10" x14ac:dyDescent="0.25">
      <c r="C134" s="6">
        <v>15</v>
      </c>
      <c r="D134" s="12">
        <v>10</v>
      </c>
      <c r="E134" s="18">
        <v>0</v>
      </c>
      <c r="G134" s="18">
        <v>0</v>
      </c>
      <c r="H134" s="22"/>
      <c r="I134" s="18"/>
      <c r="J134" s="22"/>
    </row>
    <row r="135" spans="3:10" x14ac:dyDescent="0.25">
      <c r="C135" s="6">
        <v>20</v>
      </c>
      <c r="D135" s="12">
        <v>10</v>
      </c>
      <c r="E135" s="18">
        <v>0</v>
      </c>
      <c r="G135" s="18">
        <v>1</v>
      </c>
      <c r="H135" s="22"/>
      <c r="I135" s="18"/>
      <c r="J135" s="22"/>
    </row>
    <row r="136" spans="3:10" x14ac:dyDescent="0.25">
      <c r="C136" s="6">
        <v>28</v>
      </c>
      <c r="D136" s="12">
        <v>10</v>
      </c>
      <c r="E136" s="18">
        <v>0</v>
      </c>
      <c r="G136" s="18">
        <v>0</v>
      </c>
      <c r="H136" s="22"/>
      <c r="I136" s="18"/>
      <c r="J136" s="22"/>
    </row>
    <row r="137" spans="3:10" x14ac:dyDescent="0.25">
      <c r="C137" s="6">
        <v>38</v>
      </c>
      <c r="D137" s="12">
        <v>10</v>
      </c>
      <c r="E137" s="18">
        <v>0</v>
      </c>
      <c r="G137" s="18">
        <v>0</v>
      </c>
      <c r="H137" s="22"/>
      <c r="I137" s="18"/>
      <c r="J137" s="22"/>
    </row>
    <row r="138" spans="3:10" x14ac:dyDescent="0.25">
      <c r="C138" s="6">
        <v>39</v>
      </c>
      <c r="D138" s="12">
        <v>10</v>
      </c>
      <c r="E138" s="18">
        <v>0</v>
      </c>
      <c r="G138" s="18">
        <v>0</v>
      </c>
      <c r="H138" s="22"/>
      <c r="I138" s="18"/>
      <c r="J138" s="22"/>
    </row>
    <row r="139" spans="3:10" x14ac:dyDescent="0.25">
      <c r="C139" s="6">
        <v>45</v>
      </c>
      <c r="D139" s="12">
        <v>10</v>
      </c>
      <c r="E139" s="18">
        <v>0</v>
      </c>
      <c r="G139" s="18">
        <v>0</v>
      </c>
      <c r="H139" s="22"/>
      <c r="I139" s="18"/>
      <c r="J139" s="22"/>
    </row>
    <row r="140" spans="3:10" x14ac:dyDescent="0.25">
      <c r="C140" s="13">
        <v>46</v>
      </c>
      <c r="D140" s="12">
        <v>10</v>
      </c>
      <c r="E140" s="18">
        <v>0</v>
      </c>
      <c r="G140" s="18">
        <v>0</v>
      </c>
      <c r="H140" s="22"/>
      <c r="I140" s="18"/>
      <c r="J140" s="22"/>
    </row>
    <row r="141" spans="3:10" x14ac:dyDescent="0.25">
      <c r="C141" s="31">
        <v>1</v>
      </c>
      <c r="D141" s="32">
        <v>47</v>
      </c>
      <c r="E141">
        <v>0</v>
      </c>
      <c r="G141" s="18">
        <v>0</v>
      </c>
    </row>
    <row r="142" spans="3:10" x14ac:dyDescent="0.25">
      <c r="C142" s="6">
        <v>2</v>
      </c>
      <c r="D142" s="32">
        <v>47</v>
      </c>
      <c r="E142">
        <v>0</v>
      </c>
      <c r="G142" s="18">
        <v>0</v>
      </c>
    </row>
    <row r="143" spans="3:10" x14ac:dyDescent="0.25">
      <c r="C143" s="6">
        <v>3</v>
      </c>
      <c r="D143" s="32">
        <v>47</v>
      </c>
      <c r="E143">
        <v>0</v>
      </c>
      <c r="G143" s="18">
        <v>0</v>
      </c>
    </row>
    <row r="144" spans="3:10" x14ac:dyDescent="0.25">
      <c r="C144" s="6">
        <v>4</v>
      </c>
      <c r="D144" s="32">
        <v>47</v>
      </c>
      <c r="E144">
        <v>0</v>
      </c>
      <c r="G144" s="18">
        <v>0</v>
      </c>
    </row>
    <row r="145" spans="3:7" x14ac:dyDescent="0.25">
      <c r="C145" s="6">
        <v>5</v>
      </c>
      <c r="D145" s="32">
        <v>47</v>
      </c>
      <c r="E145">
        <v>0</v>
      </c>
      <c r="G145" s="18">
        <v>0</v>
      </c>
    </row>
    <row r="146" spans="3:7" x14ac:dyDescent="0.25">
      <c r="C146" s="6">
        <v>6</v>
      </c>
      <c r="D146" s="32">
        <v>47</v>
      </c>
      <c r="E146">
        <v>0</v>
      </c>
      <c r="G146" s="18">
        <v>0</v>
      </c>
    </row>
    <row r="147" spans="3:7" x14ac:dyDescent="0.25">
      <c r="C147" s="6">
        <v>7</v>
      </c>
      <c r="D147" s="32">
        <v>47</v>
      </c>
      <c r="E147">
        <v>0</v>
      </c>
      <c r="G147" s="18">
        <v>0</v>
      </c>
    </row>
    <row r="148" spans="3:7" x14ac:dyDescent="0.25">
      <c r="C148" s="6">
        <v>8</v>
      </c>
      <c r="D148" s="32">
        <v>47</v>
      </c>
      <c r="E148">
        <v>0</v>
      </c>
      <c r="G148" s="18">
        <v>0</v>
      </c>
    </row>
    <row r="149" spans="3:7" x14ac:dyDescent="0.25">
      <c r="C149" s="6">
        <v>9</v>
      </c>
      <c r="D149" s="32">
        <v>47</v>
      </c>
      <c r="E149">
        <v>0</v>
      </c>
      <c r="G149" s="18">
        <v>0</v>
      </c>
    </row>
    <row r="150" spans="3:7" x14ac:dyDescent="0.25">
      <c r="C150" s="6">
        <v>10</v>
      </c>
      <c r="D150" s="32">
        <v>47</v>
      </c>
      <c r="E150">
        <v>0</v>
      </c>
      <c r="G150" s="18">
        <v>0</v>
      </c>
    </row>
    <row r="151" spans="3:7" x14ac:dyDescent="0.25">
      <c r="C151" s="6">
        <v>11</v>
      </c>
      <c r="D151" s="32">
        <v>47</v>
      </c>
      <c r="E151">
        <v>0</v>
      </c>
      <c r="G151" s="18">
        <v>0</v>
      </c>
    </row>
    <row r="152" spans="3:7" x14ac:dyDescent="0.25">
      <c r="C152" s="6">
        <v>12</v>
      </c>
      <c r="D152" s="32">
        <v>47</v>
      </c>
      <c r="E152">
        <v>0</v>
      </c>
      <c r="G152" s="18">
        <v>0</v>
      </c>
    </row>
    <row r="153" spans="3:7" x14ac:dyDescent="0.25">
      <c r="C153" s="6">
        <v>13</v>
      </c>
      <c r="D153" s="32">
        <v>47</v>
      </c>
      <c r="E153">
        <v>0</v>
      </c>
      <c r="G153" s="18">
        <v>0</v>
      </c>
    </row>
    <row r="154" spans="3:7" x14ac:dyDescent="0.25">
      <c r="C154" s="6">
        <v>14</v>
      </c>
      <c r="D154" s="32">
        <v>47</v>
      </c>
      <c r="E154">
        <v>0</v>
      </c>
      <c r="G154" s="18">
        <v>0</v>
      </c>
    </row>
    <row r="155" spans="3:7" x14ac:dyDescent="0.25">
      <c r="C155" s="6">
        <v>15</v>
      </c>
      <c r="D155" s="32">
        <v>47</v>
      </c>
      <c r="E155">
        <v>0</v>
      </c>
      <c r="G155" s="18">
        <v>0</v>
      </c>
    </row>
    <row r="156" spans="3:7" x14ac:dyDescent="0.25">
      <c r="C156" s="6">
        <v>20</v>
      </c>
      <c r="D156" s="32">
        <v>47</v>
      </c>
      <c r="E156">
        <v>1</v>
      </c>
      <c r="G156" s="18">
        <v>0</v>
      </c>
    </row>
    <row r="157" spans="3:7" x14ac:dyDescent="0.25">
      <c r="C157" s="6">
        <v>28</v>
      </c>
      <c r="D157" s="32">
        <v>47</v>
      </c>
      <c r="E157">
        <v>1</v>
      </c>
      <c r="G157" s="18">
        <v>0</v>
      </c>
    </row>
    <row r="158" spans="3:7" x14ac:dyDescent="0.25">
      <c r="C158" s="6">
        <v>38</v>
      </c>
      <c r="D158" s="32">
        <v>47</v>
      </c>
      <c r="E158">
        <v>1</v>
      </c>
      <c r="G158" s="18">
        <v>0</v>
      </c>
    </row>
    <row r="159" spans="3:7" x14ac:dyDescent="0.25">
      <c r="C159" s="6">
        <v>39</v>
      </c>
      <c r="D159" s="32">
        <v>47</v>
      </c>
      <c r="E159">
        <v>1</v>
      </c>
      <c r="G159" s="18">
        <v>0</v>
      </c>
    </row>
    <row r="160" spans="3:7" x14ac:dyDescent="0.25">
      <c r="C160" s="6">
        <v>45</v>
      </c>
      <c r="D160" s="32">
        <v>47</v>
      </c>
      <c r="E160">
        <v>1</v>
      </c>
      <c r="G160" s="18">
        <v>0</v>
      </c>
    </row>
    <row r="161" spans="3:7" x14ac:dyDescent="0.25">
      <c r="C161" s="13">
        <v>46</v>
      </c>
      <c r="D161" s="32">
        <v>47</v>
      </c>
      <c r="E161">
        <v>1</v>
      </c>
      <c r="G161" s="18">
        <v>0</v>
      </c>
    </row>
  </sheetData>
  <mergeCells count="3">
    <mergeCell ref="I1:J2"/>
    <mergeCell ref="E1:F2"/>
    <mergeCell ref="G1:H2"/>
  </mergeCells>
  <conditionalFormatting sqref="H25:H26 E4:F18 F26 G4:J24 J25:L25 E25:F25 J26 L26:L33">
    <cfRule type="cellIs" dxfId="1" priority="2" operator="greaterThan">
      <formula>0</formula>
    </cfRule>
  </conditionalFormatting>
  <conditionalFormatting sqref="E4:L24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9"/>
  <sheetViews>
    <sheetView tabSelected="1" workbookViewId="0">
      <selection activeCell="C37" sqref="C37"/>
    </sheetView>
  </sheetViews>
  <sheetFormatPr defaultRowHeight="15" x14ac:dyDescent="0.25"/>
  <cols>
    <col min="1" max="1" width="3.5703125" style="22" bestFit="1" customWidth="1"/>
    <col min="2" max="2" width="6.7109375" style="1" bestFit="1" customWidth="1"/>
    <col min="3" max="3" width="12.85546875" style="1" bestFit="1" customWidth="1"/>
    <col min="4" max="4" width="32.140625" style="1" bestFit="1" customWidth="1"/>
    <col min="5" max="5" width="10.140625" style="1" bestFit="1" customWidth="1"/>
    <col min="6" max="6" width="17.42578125" style="1" bestFit="1" customWidth="1"/>
    <col min="7" max="7" width="14.7109375" style="1" bestFit="1" customWidth="1"/>
    <col min="8" max="8" width="14.7109375" bestFit="1" customWidth="1"/>
    <col min="9" max="9" width="13.5703125" bestFit="1" customWidth="1"/>
    <col min="10" max="10" width="16.28515625" bestFit="1" customWidth="1"/>
    <col min="11" max="11" width="13.7109375" bestFit="1" customWidth="1"/>
    <col min="12" max="12" width="10.140625" style="1" bestFit="1" customWidth="1"/>
    <col min="13" max="13" width="10.5703125" style="1" bestFit="1" customWidth="1"/>
    <col min="14" max="15" width="10.140625" bestFit="1" customWidth="1"/>
    <col min="16" max="16" width="10.5703125" bestFit="1" customWidth="1"/>
    <col min="17" max="17" width="13.5703125" bestFit="1" customWidth="1"/>
    <col min="18" max="18" width="7.7109375" bestFit="1" customWidth="1"/>
    <col min="19" max="19" width="6.42578125" bestFit="1" customWidth="1"/>
    <col min="20" max="20" width="13" bestFit="1" customWidth="1"/>
    <col min="21" max="21" width="11.7109375" bestFit="1" customWidth="1"/>
    <col min="22" max="22" width="12.42578125" bestFit="1" customWidth="1"/>
    <col min="23" max="23" width="13.5703125" bestFit="1" customWidth="1"/>
    <col min="24" max="25" width="10.140625" bestFit="1" customWidth="1"/>
    <col min="26" max="26" width="10.5703125" bestFit="1" customWidth="1"/>
    <col min="27" max="27" width="13.5703125" bestFit="1" customWidth="1"/>
  </cols>
  <sheetData>
    <row r="1" spans="1:28" s="22" customFormat="1" x14ac:dyDescent="0.25">
      <c r="B1" s="42"/>
      <c r="C1" s="42"/>
      <c r="D1" s="42"/>
      <c r="E1" s="42"/>
      <c r="F1" s="42"/>
      <c r="G1" s="42"/>
      <c r="K1" s="71" t="s">
        <v>245</v>
      </c>
      <c r="L1" s="71"/>
      <c r="M1" s="71"/>
      <c r="N1" s="72" t="s">
        <v>189</v>
      </c>
      <c r="O1" s="72"/>
      <c r="P1" s="72"/>
      <c r="Q1" s="72"/>
      <c r="Y1" s="71" t="s">
        <v>255</v>
      </c>
      <c r="Z1" s="71"/>
      <c r="AA1" s="71"/>
    </row>
    <row r="2" spans="1:28" x14ac:dyDescent="0.25">
      <c r="A2" s="22" t="s">
        <v>164</v>
      </c>
      <c r="B2" s="1" t="s">
        <v>184</v>
      </c>
      <c r="C2" s="1" t="s">
        <v>5</v>
      </c>
      <c r="D2" s="1" t="s">
        <v>163</v>
      </c>
      <c r="E2" s="1" t="s">
        <v>25</v>
      </c>
      <c r="F2" s="1" t="s">
        <v>165</v>
      </c>
      <c r="G2" s="1" t="s">
        <v>166</v>
      </c>
      <c r="H2" s="42" t="s">
        <v>217</v>
      </c>
      <c r="I2" s="42" t="s">
        <v>248</v>
      </c>
      <c r="J2" s="42" t="s">
        <v>231</v>
      </c>
      <c r="K2" s="42" t="s">
        <v>253</v>
      </c>
      <c r="L2" s="42" t="s">
        <v>256</v>
      </c>
      <c r="M2" s="42" t="s">
        <v>257</v>
      </c>
      <c r="N2" s="42" t="s">
        <v>253</v>
      </c>
      <c r="O2" s="42" t="s">
        <v>256</v>
      </c>
      <c r="P2" s="42" t="s">
        <v>257</v>
      </c>
      <c r="Q2" s="42" t="s">
        <v>254</v>
      </c>
      <c r="R2" s="1" t="s">
        <v>168</v>
      </c>
      <c r="S2" s="1" t="s">
        <v>167</v>
      </c>
      <c r="T2" s="1" t="s">
        <v>169</v>
      </c>
      <c r="U2" s="1" t="s">
        <v>14</v>
      </c>
      <c r="V2" s="1" t="s">
        <v>170</v>
      </c>
      <c r="W2" s="42" t="s">
        <v>243</v>
      </c>
      <c r="X2" s="42" t="s">
        <v>259</v>
      </c>
      <c r="Y2" s="42" t="s">
        <v>253</v>
      </c>
      <c r="Z2" s="42" t="s">
        <v>256</v>
      </c>
      <c r="AA2" s="42" t="s">
        <v>257</v>
      </c>
      <c r="AB2" s="42" t="s">
        <v>254</v>
      </c>
    </row>
    <row r="3" spans="1:28" x14ac:dyDescent="0.25">
      <c r="A3" s="22">
        <v>1</v>
      </c>
      <c r="B3" s="1">
        <v>0</v>
      </c>
      <c r="C3" s="1" t="s">
        <v>30</v>
      </c>
      <c r="D3" s="1" t="s">
        <v>31</v>
      </c>
      <c r="E3" s="1" t="s">
        <v>39</v>
      </c>
      <c r="F3" s="1" t="s">
        <v>40</v>
      </c>
      <c r="G3" s="1" t="s">
        <v>34</v>
      </c>
      <c r="H3" s="42" t="s">
        <v>220</v>
      </c>
      <c r="I3" s="42" t="s">
        <v>219</v>
      </c>
      <c r="J3" s="22" t="str">
        <f>IF(AND(R3=0,V3=0),"No Action",IF(AND(R3=1,V3=0),"Augment",IF(AND(R3=0,V3=1),"Prop - No Replacement","Error")))</f>
        <v>No Action</v>
      </c>
      <c r="K3" s="22" t="str">
        <f>VLOOKUP(H3&amp;I3&amp;J3,StateTransitionProbabilty!$A$4:$J$28,10,FALSE)</f>
        <v>Low</v>
      </c>
      <c r="L3" s="22">
        <f>VLOOKUP(H3&amp;I3&amp;J3,StateTransitionProbabilty!$A$4:$K$28,11,FALSE)</f>
        <v>0</v>
      </c>
      <c r="M3" s="22" t="str">
        <f>VLOOKUP(H3&amp;I3&amp;J3,StateTransitionProbabilty!$A$4:$L$28,12,FALSE)</f>
        <v>High</v>
      </c>
      <c r="N3" t="str">
        <f t="shared" ref="N3:N24" si="0">IF(Y3&gt;0,$E3,0)</f>
        <v>010802</v>
      </c>
      <c r="O3" s="22">
        <f t="shared" ref="O3:O24" si="1">IF(Z3&gt;0,$E3,0)</f>
        <v>0</v>
      </c>
      <c r="P3" s="22" t="str">
        <f t="shared" ref="P3:P24" si="2">IF(AA3&gt;0,$E3,0)</f>
        <v>010802</v>
      </c>
      <c r="Q3" s="22" t="str">
        <f t="shared" ref="Q3:Q24" si="3">IF(AB3&gt;0,$E3,0)</f>
        <v>010802</v>
      </c>
      <c r="R3">
        <f>'Optimization &amp; HucToHuc_Lookup'!K$162</f>
        <v>0</v>
      </c>
      <c r="S3" s="1">
        <f>IF(R3=0,0,VLOOKUP(A3&amp;1&amp;"*",'Optimization &amp; HucToHuc_Lookup'!$A$33:$D$158,3,FALSE))</f>
        <v>0</v>
      </c>
      <c r="T3" s="22">
        <f>IF(S3=0,0,VLOOKUP('Huc-12 Selection Results'!A3,'Optimization &amp; HucToHuc_Lookup'!$A$2:$G$29,VLOOKUP(S3,'Optimization &amp; HucToHuc_Lookup'!$I$2:$J$7,2,FALSE),FALSE))</f>
        <v>0</v>
      </c>
      <c r="U3" s="1">
        <v>0</v>
      </c>
      <c r="V3" s="16">
        <v>0</v>
      </c>
      <c r="W3">
        <f t="shared" ref="W3:W23" si="4">IF(V3=0,0,VLOOKUP(I3,$M$28:$N$31,2,FALSE)*V3)</f>
        <v>0</v>
      </c>
      <c r="X3" s="22">
        <f>IF(OR(R3&gt;0,V3&gt;0),1,0)</f>
        <v>0</v>
      </c>
      <c r="Y3">
        <f t="shared" ref="Y3:Y23" si="5">VLOOKUP(K3,$O$28:$P$32,2,FALSE)</f>
        <v>0.2</v>
      </c>
      <c r="Z3" s="22">
        <f t="shared" ref="Z3:Z23" si="6">VLOOKUP(L3,$O$28:$P$32,2,FALSE)</f>
        <v>0</v>
      </c>
      <c r="AA3" s="22">
        <f t="shared" ref="AA3:AA23" si="7">VLOOKUP(M3,$O$28:$P$32,2,FALSE)</f>
        <v>1</v>
      </c>
      <c r="AB3" s="24">
        <f>VLOOKUP(H3&amp;I3&amp;J3,StateTransitionProbabilty!$A$4:$M$28,13,FALSE)</f>
        <v>0.3300865</v>
      </c>
    </row>
    <row r="4" spans="1:28" x14ac:dyDescent="0.25">
      <c r="A4" s="22">
        <v>2</v>
      </c>
      <c r="B4" s="1">
        <v>1</v>
      </c>
      <c r="C4" s="1" t="s">
        <v>41</v>
      </c>
      <c r="D4" s="1" t="s">
        <v>42</v>
      </c>
      <c r="E4" s="1" t="s">
        <v>46</v>
      </c>
      <c r="F4" s="1" t="s">
        <v>47</v>
      </c>
      <c r="G4" s="1" t="s">
        <v>34</v>
      </c>
      <c r="H4" s="42" t="s">
        <v>221</v>
      </c>
      <c r="I4" s="42" t="s">
        <v>219</v>
      </c>
      <c r="J4" s="22" t="str">
        <f>IF(V4=1,"Prop - No Replacement","No Action")</f>
        <v>No Action</v>
      </c>
      <c r="K4" s="22">
        <f>VLOOKUP(H4&amp;I4&amp;J4,StateTransitionProbabilty!$A$4:$J$28,10,FALSE)</f>
        <v>0</v>
      </c>
      <c r="L4" s="22">
        <f>VLOOKUP(H4&amp;I4&amp;J4,StateTransitionProbabilty!$A$4:$K$28,11,FALSE)</f>
        <v>0</v>
      </c>
      <c r="M4" s="22" t="str">
        <f>VLOOKUP(H4&amp;I4&amp;J4,StateTransitionProbabilty!$A$4:$L$28,12,FALSE)</f>
        <v>Med-Low</v>
      </c>
      <c r="N4" s="22">
        <f t="shared" si="0"/>
        <v>0</v>
      </c>
      <c r="O4" s="22">
        <f t="shared" si="1"/>
        <v>0</v>
      </c>
      <c r="P4" s="22" t="str">
        <f t="shared" si="2"/>
        <v>011000</v>
      </c>
      <c r="Q4" s="22" t="str">
        <f t="shared" si="3"/>
        <v>011000</v>
      </c>
      <c r="R4" s="22">
        <f>'Optimization &amp; HucToHuc_Lookup'!L$162</f>
        <v>0</v>
      </c>
      <c r="S4" s="42">
        <f>IF(R4=0,0,VLOOKUP(A4&amp;1&amp;"*",'Optimization &amp; HucToHuc_Lookup'!$A$33:$D$158,3,FALSE))</f>
        <v>0</v>
      </c>
      <c r="T4" s="22">
        <f>IF(S4=0,0,VLOOKUP('Huc-12 Selection Results'!A4,'Optimization &amp; HucToHuc_Lookup'!$A$2:$G$29,VLOOKUP(S4,'Optimization &amp; HucToHuc_Lookup'!$I$2:$J$7,2,FALSE),FALSE))</f>
        <v>0</v>
      </c>
      <c r="U4" s="1">
        <v>0</v>
      </c>
      <c r="V4" s="22">
        <f>COUNTIF($S$3:$S$23,A4)</f>
        <v>2</v>
      </c>
      <c r="W4" s="22">
        <f t="shared" si="4"/>
        <v>16</v>
      </c>
      <c r="X4" s="22">
        <f t="shared" ref="X4:X24" si="8">IF(OR(R4&gt;0,V4&gt;0),1,0)</f>
        <v>1</v>
      </c>
      <c r="Y4" s="22">
        <f t="shared" si="5"/>
        <v>0</v>
      </c>
      <c r="Z4" s="22">
        <f t="shared" si="6"/>
        <v>0</v>
      </c>
      <c r="AA4" s="22">
        <f t="shared" si="7"/>
        <v>0.6</v>
      </c>
      <c r="AB4" s="24">
        <f>VLOOKUP(H4&amp;I4&amp;J4,StateTransitionProbabilty!$A$4:$M$28,13,FALSE)</f>
        <v>0.1100372</v>
      </c>
    </row>
    <row r="5" spans="1:28" x14ac:dyDescent="0.25">
      <c r="A5" s="22">
        <v>3</v>
      </c>
      <c r="B5" s="1">
        <v>2</v>
      </c>
      <c r="C5" s="1" t="s">
        <v>48</v>
      </c>
      <c r="D5" s="1" t="s">
        <v>49</v>
      </c>
      <c r="E5" s="1" t="s">
        <v>46</v>
      </c>
      <c r="F5" s="1" t="s">
        <v>47</v>
      </c>
      <c r="G5" s="1" t="s">
        <v>34</v>
      </c>
      <c r="H5" s="42" t="s">
        <v>221</v>
      </c>
      <c r="I5" s="42" t="s">
        <v>219</v>
      </c>
      <c r="J5" s="22" t="str">
        <f>IF(V5=1,"Prop - No Replacement","No Action")</f>
        <v>No Action</v>
      </c>
      <c r="K5" s="22">
        <f>VLOOKUP(H5&amp;I5&amp;J5,StateTransitionProbabilty!$A$4:$J$28,10,FALSE)</f>
        <v>0</v>
      </c>
      <c r="L5" s="22">
        <f>VLOOKUP(H5&amp;I5&amp;J5,StateTransitionProbabilty!$A$4:$K$28,11,FALSE)</f>
        <v>0</v>
      </c>
      <c r="M5" s="22" t="str">
        <f>VLOOKUP(H5&amp;I5&amp;J5,StateTransitionProbabilty!$A$4:$L$28,12,FALSE)</f>
        <v>Med-Low</v>
      </c>
      <c r="N5" s="22">
        <f t="shared" si="0"/>
        <v>0</v>
      </c>
      <c r="O5" s="22">
        <f t="shared" si="1"/>
        <v>0</v>
      </c>
      <c r="P5" s="22" t="str">
        <f t="shared" si="2"/>
        <v>011000</v>
      </c>
      <c r="Q5" s="22" t="str">
        <f t="shared" si="3"/>
        <v>011000</v>
      </c>
      <c r="R5" s="22">
        <f>'Optimization &amp; HucToHuc_Lookup'!M$162</f>
        <v>0</v>
      </c>
      <c r="S5" s="42">
        <f>IF(R5=0,0,VLOOKUP(A5&amp;1&amp;"*",'Optimization &amp; HucToHuc_Lookup'!$A$33:$D$158,3,FALSE))</f>
        <v>0</v>
      </c>
      <c r="T5" s="22">
        <f>IF(S5=0,0,VLOOKUP('Huc-12 Selection Results'!A5,'Optimization &amp; HucToHuc_Lookup'!$A$2:$G$29,VLOOKUP(S5,'Optimization &amp; HucToHuc_Lookup'!$I$2:$J$7,2,FALSE),FALSE))</f>
        <v>0</v>
      </c>
      <c r="U5" s="1">
        <v>0</v>
      </c>
      <c r="V5" s="16">
        <v>0</v>
      </c>
      <c r="W5" s="22">
        <f t="shared" si="4"/>
        <v>0</v>
      </c>
      <c r="X5" s="22">
        <f t="shared" si="8"/>
        <v>0</v>
      </c>
      <c r="Y5" s="22">
        <f t="shared" si="5"/>
        <v>0</v>
      </c>
      <c r="Z5" s="22">
        <f t="shared" si="6"/>
        <v>0</v>
      </c>
      <c r="AA5" s="22">
        <f t="shared" si="7"/>
        <v>0.6</v>
      </c>
      <c r="AB5" s="24">
        <f>VLOOKUP(H5&amp;I5&amp;J5,StateTransitionProbabilty!$A$4:$M$28,13,FALSE)</f>
        <v>0.1100372</v>
      </c>
    </row>
    <row r="6" spans="1:28" x14ac:dyDescent="0.25">
      <c r="A6" s="22">
        <v>4</v>
      </c>
      <c r="B6" s="1">
        <v>3</v>
      </c>
      <c r="C6" s="1" t="s">
        <v>50</v>
      </c>
      <c r="D6" s="1" t="s">
        <v>51</v>
      </c>
      <c r="E6" s="1" t="s">
        <v>46</v>
      </c>
      <c r="F6" s="1" t="s">
        <v>47</v>
      </c>
      <c r="G6" s="1" t="s">
        <v>34</v>
      </c>
      <c r="H6" s="42" t="s">
        <v>220</v>
      </c>
      <c r="I6" s="42" t="s">
        <v>218</v>
      </c>
      <c r="J6" s="22" t="str">
        <f>IF(AND(R6=0,V6=0),"No Action",IF(AND(R6=1,V6=0),"Augment",IF(AND(R6=0,V6=1),"Prop w/Replacement","Prop + Aug")))</f>
        <v>Prop + Aug</v>
      </c>
      <c r="K6" s="22" t="str">
        <f>VLOOKUP(H6&amp;I6&amp;J6,StateTransitionProbabilty!$A$4:$J$28,10,FALSE)</f>
        <v>Med-Low</v>
      </c>
      <c r="L6" s="22">
        <f>VLOOKUP(H6&amp;I6&amp;J6,StateTransitionProbabilty!$A$4:$K$28,11,FALSE)</f>
        <v>0</v>
      </c>
      <c r="M6" s="22" t="str">
        <f>VLOOKUP(H6&amp;I6&amp;J6,StateTransitionProbabilty!$A$4:$L$28,12,FALSE)</f>
        <v>High</v>
      </c>
      <c r="N6" s="22" t="str">
        <f t="shared" si="0"/>
        <v>011000</v>
      </c>
      <c r="O6" s="22">
        <f t="shared" si="1"/>
        <v>0</v>
      </c>
      <c r="P6" s="22" t="str">
        <f t="shared" si="2"/>
        <v>011000</v>
      </c>
      <c r="Q6" s="22" t="str">
        <f t="shared" si="3"/>
        <v>011000</v>
      </c>
      <c r="R6" s="22">
        <f>'Optimization &amp; HucToHuc_Lookup'!N$162</f>
        <v>0</v>
      </c>
      <c r="S6" s="42">
        <f>IF(R6=0,0,VLOOKUP(A6&amp;1&amp;"*",'Optimization &amp; HucToHuc_Lookup'!$A$33:$D$158,3,FALSE))</f>
        <v>0</v>
      </c>
      <c r="T6" s="22">
        <f>IF(S6=0,0,VLOOKUP('Huc-12 Selection Results'!A6,'Optimization &amp; HucToHuc_Lookup'!$A$2:$G$29,VLOOKUP(S6,'Optimization &amp; HucToHuc_Lookup'!$I$2:$J$7,2,FALSE),FALSE))</f>
        <v>0</v>
      </c>
      <c r="U6" s="1">
        <v>0</v>
      </c>
      <c r="V6" s="22">
        <f>COUNTIF($S$3:$S$23,A6)</f>
        <v>2</v>
      </c>
      <c r="W6" s="22">
        <f t="shared" si="4"/>
        <v>8</v>
      </c>
      <c r="X6" s="22">
        <f t="shared" si="8"/>
        <v>1</v>
      </c>
      <c r="Y6" s="22">
        <f t="shared" si="5"/>
        <v>0.6</v>
      </c>
      <c r="Z6" s="22">
        <f t="shared" si="6"/>
        <v>0</v>
      </c>
      <c r="AA6" s="22">
        <f t="shared" si="7"/>
        <v>1</v>
      </c>
      <c r="AB6" s="24">
        <f>VLOOKUP(H6&amp;I6&amp;J6,StateTransitionProbabilty!$A$4:$M$28,13,FALSE)</f>
        <v>0.59494999999999998</v>
      </c>
    </row>
    <row r="7" spans="1:28" x14ac:dyDescent="0.25">
      <c r="A7" s="22">
        <v>5</v>
      </c>
      <c r="B7" s="1">
        <v>4</v>
      </c>
      <c r="C7" s="1" t="s">
        <v>53</v>
      </c>
      <c r="D7" s="1" t="s">
        <v>54</v>
      </c>
      <c r="E7" s="1" t="s">
        <v>39</v>
      </c>
      <c r="F7" s="1" t="s">
        <v>40</v>
      </c>
      <c r="G7" s="1" t="s">
        <v>34</v>
      </c>
      <c r="H7" s="42" t="s">
        <v>220</v>
      </c>
      <c r="I7" s="42" t="s">
        <v>219</v>
      </c>
      <c r="J7" s="22" t="str">
        <f>IF(AND(R7=0,V7=0),"No Action",IF(AND(R7=1,V7=0),"Augment",IF(AND(R7=0,V7=1),"Prop - No Replacement","Error")))</f>
        <v>No Action</v>
      </c>
      <c r="K7" s="22" t="str">
        <f>VLOOKUP(H7&amp;I7&amp;J7,StateTransitionProbabilty!$A$4:$J$28,10,FALSE)</f>
        <v>Low</v>
      </c>
      <c r="L7" s="22">
        <f>VLOOKUP(H7&amp;I7&amp;J7,StateTransitionProbabilty!$A$4:$K$28,11,FALSE)</f>
        <v>0</v>
      </c>
      <c r="M7" s="22" t="str">
        <f>VLOOKUP(H7&amp;I7&amp;J7,StateTransitionProbabilty!$A$4:$L$28,12,FALSE)</f>
        <v>High</v>
      </c>
      <c r="N7" s="22" t="str">
        <f t="shared" si="0"/>
        <v>010802</v>
      </c>
      <c r="O7" s="22">
        <f t="shared" si="1"/>
        <v>0</v>
      </c>
      <c r="P7" s="22" t="str">
        <f t="shared" si="2"/>
        <v>010802</v>
      </c>
      <c r="Q7" s="22" t="str">
        <f t="shared" si="3"/>
        <v>010802</v>
      </c>
      <c r="R7" s="22">
        <f>'Optimization &amp; HucToHuc_Lookup'!O$162</f>
        <v>0</v>
      </c>
      <c r="S7" s="42">
        <f>IF(R7=0,0,VLOOKUP(A7&amp;1&amp;"*",'Optimization &amp; HucToHuc_Lookup'!$A$33:$D$158,3,FALSE))</f>
        <v>0</v>
      </c>
      <c r="T7" s="22">
        <f>IF(S7=0,0,VLOOKUP('Huc-12 Selection Results'!A7,'Optimization &amp; HucToHuc_Lookup'!$A$2:$G$29,VLOOKUP(S7,'Optimization &amp; HucToHuc_Lookup'!$I$2:$J$7,2,FALSE),FALSE))</f>
        <v>0</v>
      </c>
      <c r="U7" s="1">
        <v>0</v>
      </c>
      <c r="V7" s="16">
        <v>0</v>
      </c>
      <c r="W7" s="22">
        <f t="shared" si="4"/>
        <v>0</v>
      </c>
      <c r="X7" s="22">
        <f t="shared" si="8"/>
        <v>0</v>
      </c>
      <c r="Y7" s="22">
        <f t="shared" si="5"/>
        <v>0.2</v>
      </c>
      <c r="Z7" s="22">
        <f t="shared" si="6"/>
        <v>0</v>
      </c>
      <c r="AA7" s="22">
        <f t="shared" si="7"/>
        <v>1</v>
      </c>
      <c r="AB7" s="24">
        <f>VLOOKUP(H7&amp;I7&amp;J7,StateTransitionProbabilty!$A$4:$M$28,13,FALSE)</f>
        <v>0.3300865</v>
      </c>
    </row>
    <row r="8" spans="1:28" x14ac:dyDescent="0.25">
      <c r="A8" s="22">
        <v>6</v>
      </c>
      <c r="B8" s="1">
        <v>5</v>
      </c>
      <c r="C8" s="1" t="s">
        <v>56</v>
      </c>
      <c r="D8" s="1" t="s">
        <v>57</v>
      </c>
      <c r="E8" s="1" t="s">
        <v>60</v>
      </c>
      <c r="F8" s="1" t="s">
        <v>61</v>
      </c>
      <c r="G8" s="1" t="s">
        <v>58</v>
      </c>
      <c r="H8" s="42" t="s">
        <v>220</v>
      </c>
      <c r="I8" s="42" t="s">
        <v>218</v>
      </c>
      <c r="J8" s="22" t="str">
        <f>IF(AND(R8=0,V8=0),"No Action",IF(AND(R8=1,V8=0),"Augment",IF(AND(R8=0,V8=1),"Prop w/Replacement","Prop + Aug")))</f>
        <v>Prop + Aug</v>
      </c>
      <c r="K8" s="22" t="str">
        <f>VLOOKUP(H8&amp;I8&amp;J8,StateTransitionProbabilty!$A$4:$J$28,10,FALSE)</f>
        <v>Med-Low</v>
      </c>
      <c r="L8" s="22">
        <f>VLOOKUP(H8&amp;I8&amp;J8,StateTransitionProbabilty!$A$4:$K$28,11,FALSE)</f>
        <v>0</v>
      </c>
      <c r="M8" s="22" t="str">
        <f>VLOOKUP(H8&amp;I8&amp;J8,StateTransitionProbabilty!$A$4:$L$28,12,FALSE)</f>
        <v>High</v>
      </c>
      <c r="N8" s="22" t="str">
        <f t="shared" si="0"/>
        <v>010700</v>
      </c>
      <c r="O8" s="22">
        <f t="shared" si="1"/>
        <v>0</v>
      </c>
      <c r="P8" s="22" t="str">
        <f t="shared" si="2"/>
        <v>010700</v>
      </c>
      <c r="Q8" s="22" t="str">
        <f t="shared" si="3"/>
        <v>010700</v>
      </c>
      <c r="R8" s="22">
        <f>'Optimization &amp; HucToHuc_Lookup'!P$162</f>
        <v>1</v>
      </c>
      <c r="S8" s="42">
        <f>IF(R8=0,0,VLOOKUP(A8&amp;1&amp;"*",'Optimization &amp; HucToHuc_Lookup'!$A$33:$D$158,3,FALSE))</f>
        <v>6</v>
      </c>
      <c r="T8" s="22">
        <f>IF(S8=0,0,VLOOKUP('Huc-12 Selection Results'!A8,'Optimization &amp; HucToHuc_Lookup'!$A$2:$G$29,VLOOKUP(S8,'Optimization &amp; HucToHuc_Lookup'!$I$2:$J$7,2,FALSE),FALSE))</f>
        <v>0</v>
      </c>
      <c r="U8" s="1">
        <v>0</v>
      </c>
      <c r="V8" s="22">
        <f>COUNTIF($S$3:$S$23,A8)</f>
        <v>2</v>
      </c>
      <c r="W8" s="22">
        <f t="shared" si="4"/>
        <v>8</v>
      </c>
      <c r="X8" s="22">
        <f t="shared" si="8"/>
        <v>1</v>
      </c>
      <c r="Y8" s="22">
        <f t="shared" si="5"/>
        <v>0.6</v>
      </c>
      <c r="Z8" s="22">
        <f t="shared" si="6"/>
        <v>0</v>
      </c>
      <c r="AA8" s="22">
        <f t="shared" si="7"/>
        <v>1</v>
      </c>
      <c r="AB8" s="24">
        <f>VLOOKUP(H8&amp;I8&amp;J8,StateTransitionProbabilty!$A$4:$M$28,13,FALSE)</f>
        <v>0.59494999999999998</v>
      </c>
    </row>
    <row r="9" spans="1:28" x14ac:dyDescent="0.25">
      <c r="A9" s="22">
        <v>7</v>
      </c>
      <c r="B9" s="1">
        <v>6</v>
      </c>
      <c r="C9" s="1" t="s">
        <v>63</v>
      </c>
      <c r="D9" s="1" t="s">
        <v>64</v>
      </c>
      <c r="E9" s="1" t="s">
        <v>39</v>
      </c>
      <c r="F9" s="1" t="s">
        <v>40</v>
      </c>
      <c r="G9" s="1" t="s">
        <v>58</v>
      </c>
      <c r="H9" s="42" t="s">
        <v>221</v>
      </c>
      <c r="I9" s="42" t="s">
        <v>219</v>
      </c>
      <c r="J9" s="22" t="str">
        <f>IF(V9=1,"Prop - No Replacement","No Action")</f>
        <v>No Action</v>
      </c>
      <c r="K9" s="22">
        <f>VLOOKUP(H9&amp;I9&amp;J9,StateTransitionProbabilty!$A$4:$J$28,10,FALSE)</f>
        <v>0</v>
      </c>
      <c r="L9" s="22">
        <f>VLOOKUP(H9&amp;I9&amp;J9,StateTransitionProbabilty!$A$4:$K$28,11,FALSE)</f>
        <v>0</v>
      </c>
      <c r="M9" s="22" t="str">
        <f>VLOOKUP(H9&amp;I9&amp;J9,StateTransitionProbabilty!$A$4:$L$28,12,FALSE)</f>
        <v>Med-Low</v>
      </c>
      <c r="N9" s="22">
        <f t="shared" si="0"/>
        <v>0</v>
      </c>
      <c r="O9" s="22">
        <f t="shared" si="1"/>
        <v>0</v>
      </c>
      <c r="P9" s="22" t="str">
        <f t="shared" si="2"/>
        <v>010802</v>
      </c>
      <c r="Q9" s="22" t="str">
        <f t="shared" si="3"/>
        <v>010802</v>
      </c>
      <c r="R9" s="22">
        <f>'Optimization &amp; HucToHuc_Lookup'!Q$162</f>
        <v>0</v>
      </c>
      <c r="S9" s="42">
        <f>IF(R9=0,0,VLOOKUP(A9&amp;1&amp;"*",'Optimization &amp; HucToHuc_Lookup'!$A$33:$D$158,3,FALSE))</f>
        <v>0</v>
      </c>
      <c r="T9" s="22">
        <f>IF(S9=0,0,VLOOKUP('Huc-12 Selection Results'!A9,'Optimization &amp; HucToHuc_Lookup'!$A$2:$G$29,VLOOKUP(S9,'Optimization &amp; HucToHuc_Lookup'!$I$2:$J$7,2,FALSE),FALSE))</f>
        <v>0</v>
      </c>
      <c r="U9" s="1">
        <v>0</v>
      </c>
      <c r="V9" s="16">
        <v>0</v>
      </c>
      <c r="W9" s="22">
        <f t="shared" si="4"/>
        <v>0</v>
      </c>
      <c r="X9" s="22">
        <f t="shared" si="8"/>
        <v>0</v>
      </c>
      <c r="Y9" s="22">
        <f t="shared" si="5"/>
        <v>0</v>
      </c>
      <c r="Z9" s="22">
        <f t="shared" si="6"/>
        <v>0</v>
      </c>
      <c r="AA9" s="22">
        <f t="shared" si="7"/>
        <v>0.6</v>
      </c>
      <c r="AB9" s="24">
        <f>VLOOKUP(H9&amp;I9&amp;J9,StateTransitionProbabilty!$A$4:$M$28,13,FALSE)</f>
        <v>0.1100372</v>
      </c>
    </row>
    <row r="10" spans="1:28" x14ac:dyDescent="0.25">
      <c r="A10" s="22">
        <v>8</v>
      </c>
      <c r="B10" s="1">
        <v>11</v>
      </c>
      <c r="C10" s="1" t="s">
        <v>73</v>
      </c>
      <c r="D10" s="1" t="s">
        <v>74</v>
      </c>
      <c r="E10" s="1" t="s">
        <v>39</v>
      </c>
      <c r="F10" s="1" t="s">
        <v>40</v>
      </c>
      <c r="G10" s="1" t="s">
        <v>34</v>
      </c>
      <c r="H10" s="42" t="s">
        <v>220</v>
      </c>
      <c r="I10" s="42" t="s">
        <v>219</v>
      </c>
      <c r="J10" s="22" t="str">
        <f>IF(AND(R10=0,V10=0),"No Action",IF(AND(R10=1,V10=0),"Augment",IF(AND(R10=0,V10=1),"Prop - No Replacement","Error")))</f>
        <v>No Action</v>
      </c>
      <c r="K10" s="22" t="str">
        <f>VLOOKUP(H10&amp;I10&amp;J10,StateTransitionProbabilty!$A$4:$J$28,10,FALSE)</f>
        <v>Low</v>
      </c>
      <c r="L10" s="22">
        <f>VLOOKUP(H10&amp;I10&amp;J10,StateTransitionProbabilty!$A$4:$K$28,11,FALSE)</f>
        <v>0</v>
      </c>
      <c r="M10" s="22" t="str">
        <f>VLOOKUP(H10&amp;I10&amp;J10,StateTransitionProbabilty!$A$4:$L$28,12,FALSE)</f>
        <v>High</v>
      </c>
      <c r="N10" s="22" t="str">
        <f t="shared" si="0"/>
        <v>010802</v>
      </c>
      <c r="O10" s="22">
        <f t="shared" si="1"/>
        <v>0</v>
      </c>
      <c r="P10" s="22" t="str">
        <f t="shared" si="2"/>
        <v>010802</v>
      </c>
      <c r="Q10" s="22" t="str">
        <f t="shared" si="3"/>
        <v>010802</v>
      </c>
      <c r="R10" s="22">
        <f>'Optimization &amp; HucToHuc_Lookup'!R$162</f>
        <v>0</v>
      </c>
      <c r="S10" s="42">
        <f>IF(R10=0,0,VLOOKUP(A10&amp;1&amp;"*",'Optimization &amp; HucToHuc_Lookup'!$A$33:$D$158,3,FALSE))</f>
        <v>0</v>
      </c>
      <c r="T10" s="22">
        <f>IF(S10=0,0,VLOOKUP('Huc-12 Selection Results'!A10,'Optimization &amp; HucToHuc_Lookup'!$A$2:$G$29,VLOOKUP(S10,'Optimization &amp; HucToHuc_Lookup'!$I$2:$J$7,2,FALSE),FALSE))</f>
        <v>0</v>
      </c>
      <c r="U10" s="1">
        <v>0</v>
      </c>
      <c r="V10" s="16">
        <v>0</v>
      </c>
      <c r="W10" s="22">
        <f t="shared" si="4"/>
        <v>0</v>
      </c>
      <c r="X10" s="22">
        <f t="shared" si="8"/>
        <v>0</v>
      </c>
      <c r="Y10" s="22">
        <f t="shared" si="5"/>
        <v>0.2</v>
      </c>
      <c r="Z10" s="22">
        <f t="shared" si="6"/>
        <v>0</v>
      </c>
      <c r="AA10" s="22">
        <f t="shared" si="7"/>
        <v>1</v>
      </c>
      <c r="AB10" s="24">
        <f>VLOOKUP(H10&amp;I10&amp;J10,StateTransitionProbabilty!$A$4:$M$28,13,FALSE)</f>
        <v>0.3300865</v>
      </c>
    </row>
    <row r="11" spans="1:28" x14ac:dyDescent="0.25">
      <c r="A11" s="22">
        <v>9</v>
      </c>
      <c r="B11" s="1">
        <v>12</v>
      </c>
      <c r="C11" s="1" t="s">
        <v>75</v>
      </c>
      <c r="D11" s="1" t="s">
        <v>76</v>
      </c>
      <c r="E11" s="1" t="s">
        <v>39</v>
      </c>
      <c r="F11" s="1" t="s">
        <v>40</v>
      </c>
      <c r="G11" s="1" t="s">
        <v>58</v>
      </c>
      <c r="H11" s="42" t="s">
        <v>220</v>
      </c>
      <c r="I11" s="42" t="s">
        <v>219</v>
      </c>
      <c r="J11" s="22" t="str">
        <f>IF(AND(R11=0,V11=0),"No Action",IF(AND(R11=1,V11=0),"Augment",IF(AND(R11=0,V11=1),"Prop - No Replacement","Error")))</f>
        <v>Prop - No Replacement</v>
      </c>
      <c r="K11" s="22" t="str">
        <f>VLOOKUP(H11&amp;I11&amp;J11,StateTransitionProbabilty!$A$4:$J$28,10,FALSE)</f>
        <v>Low</v>
      </c>
      <c r="L11" s="22">
        <f>VLOOKUP(H11&amp;I11&amp;J11,StateTransitionProbabilty!$A$4:$K$28,11,FALSE)</f>
        <v>0</v>
      </c>
      <c r="M11" s="22" t="str">
        <f>VLOOKUP(H11&amp;I11&amp;J11,StateTransitionProbabilty!$A$4:$L$28,12,FALSE)</f>
        <v>High</v>
      </c>
      <c r="N11" s="22" t="str">
        <f t="shared" si="0"/>
        <v>010802</v>
      </c>
      <c r="O11" s="22">
        <f t="shared" si="1"/>
        <v>0</v>
      </c>
      <c r="P11" s="22" t="str">
        <f t="shared" si="2"/>
        <v>010802</v>
      </c>
      <c r="Q11" s="22" t="str">
        <f t="shared" si="3"/>
        <v>010802</v>
      </c>
      <c r="R11" s="22">
        <f>'Optimization &amp; HucToHuc_Lookup'!S$162</f>
        <v>0</v>
      </c>
      <c r="S11" s="42">
        <f>IF(R11=0,0,VLOOKUP(A11&amp;1&amp;"*",'Optimization &amp; HucToHuc_Lookup'!$A$33:$D$158,3,FALSE))</f>
        <v>0</v>
      </c>
      <c r="T11" s="22">
        <f>IF(S11=0,0,VLOOKUP('Huc-12 Selection Results'!A11,'Optimization &amp; HucToHuc_Lookup'!$A$2:$G$29,VLOOKUP(S11,'Optimization &amp; HucToHuc_Lookup'!$I$2:$J$7,2,FALSE),FALSE))</f>
        <v>0</v>
      </c>
      <c r="U11" s="1">
        <v>0</v>
      </c>
      <c r="V11" s="22">
        <f>COUNTIF($S$3:$S$23,A11)</f>
        <v>1</v>
      </c>
      <c r="W11" s="22">
        <f t="shared" si="4"/>
        <v>8</v>
      </c>
      <c r="X11" s="22">
        <f t="shared" si="8"/>
        <v>1</v>
      </c>
      <c r="Y11" s="22">
        <f t="shared" si="5"/>
        <v>0.2</v>
      </c>
      <c r="Z11" s="22">
        <f t="shared" si="6"/>
        <v>0</v>
      </c>
      <c r="AA11" s="22">
        <f t="shared" si="7"/>
        <v>1</v>
      </c>
      <c r="AB11" s="24">
        <f>VLOOKUP(H11&amp;I11&amp;J11,StateTransitionProbabilty!$A$4:$M$28,13,FALSE)</f>
        <v>0.30975920000000001</v>
      </c>
    </row>
    <row r="12" spans="1:28" x14ac:dyDescent="0.25">
      <c r="A12" s="22">
        <v>10</v>
      </c>
      <c r="B12" s="1">
        <v>14</v>
      </c>
      <c r="C12" s="1" t="s">
        <v>79</v>
      </c>
      <c r="D12" s="1" t="s">
        <v>80</v>
      </c>
      <c r="E12" s="1" t="s">
        <v>39</v>
      </c>
      <c r="F12" s="1" t="s">
        <v>40</v>
      </c>
      <c r="G12" s="1" t="s">
        <v>58</v>
      </c>
      <c r="H12" s="42" t="s">
        <v>220</v>
      </c>
      <c r="I12" s="42" t="s">
        <v>218</v>
      </c>
      <c r="J12" s="22" t="str">
        <f>IF(AND(R12=0,V12=0),"No Action",IF(AND(R12=1,V12=0),"Augment",IF(AND(R12=0,V12=1),"Prop w/Replacement","Prop + Aug")))</f>
        <v>No Action</v>
      </c>
      <c r="K12" s="22" t="str">
        <f>VLOOKUP(H12&amp;I12&amp;J12,StateTransitionProbabilty!$A$4:$J$28,10,FALSE)</f>
        <v>Med-Low</v>
      </c>
      <c r="L12" s="22">
        <f>VLOOKUP(H12&amp;I12&amp;J12,StateTransitionProbabilty!$A$4:$K$28,11,FALSE)</f>
        <v>0</v>
      </c>
      <c r="M12" s="22" t="str">
        <f>VLOOKUP(H12&amp;I12&amp;J12,StateTransitionProbabilty!$A$4:$L$28,12,FALSE)</f>
        <v>High</v>
      </c>
      <c r="N12" s="22" t="str">
        <f t="shared" si="0"/>
        <v>010802</v>
      </c>
      <c r="O12" s="22">
        <f t="shared" si="1"/>
        <v>0</v>
      </c>
      <c r="P12" s="22" t="str">
        <f t="shared" si="2"/>
        <v>010802</v>
      </c>
      <c r="Q12" s="22" t="str">
        <f t="shared" si="3"/>
        <v>010802</v>
      </c>
      <c r="R12" s="22">
        <f>'Optimization &amp; HucToHuc_Lookup'!T$162</f>
        <v>0</v>
      </c>
      <c r="S12" s="42">
        <f>IF(R12=0,0,VLOOKUP(A12&amp;1&amp;"*",'Optimization &amp; HucToHuc_Lookup'!$A$33:$D$158,3,FALSE))</f>
        <v>0</v>
      </c>
      <c r="T12" s="22">
        <f>IF(S12=0,0,VLOOKUP('Huc-12 Selection Results'!A12,'Optimization &amp; HucToHuc_Lookup'!$A$2:$G$29,VLOOKUP(S12,'Optimization &amp; HucToHuc_Lookup'!$I$2:$J$7,2,FALSE),FALSE))</f>
        <v>0</v>
      </c>
      <c r="U12" s="1">
        <v>0</v>
      </c>
      <c r="V12" s="22">
        <f>COUNTIF($S$3:$S$23,A12)</f>
        <v>0</v>
      </c>
      <c r="W12" s="22">
        <f t="shared" si="4"/>
        <v>0</v>
      </c>
      <c r="X12" s="22">
        <f t="shared" si="8"/>
        <v>0</v>
      </c>
      <c r="Y12" s="22">
        <f t="shared" si="5"/>
        <v>0.6</v>
      </c>
      <c r="Z12" s="22">
        <f t="shared" si="6"/>
        <v>0</v>
      </c>
      <c r="AA12" s="22">
        <f t="shared" si="7"/>
        <v>1</v>
      </c>
      <c r="AB12" s="24">
        <f>VLOOKUP(H12&amp;I12&amp;J12,StateTransitionProbabilty!$A$4:$M$28,13,FALSE)</f>
        <v>0.53027040000000003</v>
      </c>
    </row>
    <row r="13" spans="1:28" x14ac:dyDescent="0.25">
      <c r="A13" s="22">
        <v>11</v>
      </c>
      <c r="B13" s="1">
        <v>7</v>
      </c>
      <c r="C13" s="1" t="s">
        <v>65</v>
      </c>
      <c r="D13" s="1" t="s">
        <v>66</v>
      </c>
      <c r="E13" s="1" t="s">
        <v>46</v>
      </c>
      <c r="F13" s="1" t="s">
        <v>47</v>
      </c>
      <c r="G13" s="1" t="s">
        <v>34</v>
      </c>
      <c r="H13" s="42" t="s">
        <v>221</v>
      </c>
      <c r="I13" s="42" t="s">
        <v>219</v>
      </c>
      <c r="J13" s="22" t="str">
        <f>IF(V13=1,"Prop - No Replacement","No Action")</f>
        <v>No Action</v>
      </c>
      <c r="K13" s="22">
        <f>VLOOKUP(H13&amp;I13&amp;J13,StateTransitionProbabilty!$A$4:$J$28,10,FALSE)</f>
        <v>0</v>
      </c>
      <c r="L13" s="22">
        <f>VLOOKUP(H13&amp;I13&amp;J13,StateTransitionProbabilty!$A$4:$K$28,11,FALSE)</f>
        <v>0</v>
      </c>
      <c r="M13" s="22" t="str">
        <f>VLOOKUP(H13&amp;I13&amp;J13,StateTransitionProbabilty!$A$4:$L$28,12,FALSE)</f>
        <v>Med-Low</v>
      </c>
      <c r="N13" s="22">
        <f t="shared" si="0"/>
        <v>0</v>
      </c>
      <c r="O13" s="22">
        <f t="shared" si="1"/>
        <v>0</v>
      </c>
      <c r="P13" s="22" t="str">
        <f t="shared" si="2"/>
        <v>011000</v>
      </c>
      <c r="Q13" s="22" t="str">
        <f t="shared" si="3"/>
        <v>011000</v>
      </c>
      <c r="R13" s="22">
        <f>'Optimization &amp; HucToHuc_Lookup'!U$162</f>
        <v>0</v>
      </c>
      <c r="S13" s="42">
        <f>IF(R13=0,0,VLOOKUP(A13&amp;1&amp;"*",'Optimization &amp; HucToHuc_Lookup'!$A$33:$D$158,3,FALSE))</f>
        <v>0</v>
      </c>
      <c r="T13" s="22">
        <f>IF(S13=0,0,VLOOKUP('Huc-12 Selection Results'!A13,'Optimization &amp; HucToHuc_Lookup'!$A$2:$G$29,VLOOKUP(S13,'Optimization &amp; HucToHuc_Lookup'!$I$2:$J$7,2,FALSE),FALSE))</f>
        <v>0</v>
      </c>
      <c r="U13" s="1">
        <v>1</v>
      </c>
      <c r="V13" s="16">
        <v>0</v>
      </c>
      <c r="W13" s="22">
        <f t="shared" si="4"/>
        <v>0</v>
      </c>
      <c r="X13" s="22">
        <f t="shared" si="8"/>
        <v>0</v>
      </c>
      <c r="Y13" s="22">
        <f t="shared" si="5"/>
        <v>0</v>
      </c>
      <c r="Z13" s="22">
        <f t="shared" si="6"/>
        <v>0</v>
      </c>
      <c r="AA13" s="22">
        <f t="shared" si="7"/>
        <v>0.6</v>
      </c>
      <c r="AB13" s="24">
        <f>VLOOKUP(H13&amp;I13&amp;J13,StateTransitionProbabilty!$A$4:$M$28,13,FALSE)</f>
        <v>0.1100372</v>
      </c>
    </row>
    <row r="14" spans="1:28" x14ac:dyDescent="0.25">
      <c r="A14" s="22">
        <v>12</v>
      </c>
      <c r="B14" s="1">
        <v>8</v>
      </c>
      <c r="C14" s="1" t="s">
        <v>67</v>
      </c>
      <c r="D14" s="1" t="s">
        <v>68</v>
      </c>
      <c r="E14" s="1" t="s">
        <v>46</v>
      </c>
      <c r="F14" s="1" t="s">
        <v>47</v>
      </c>
      <c r="G14" s="1" t="s">
        <v>34</v>
      </c>
      <c r="H14" s="42" t="s">
        <v>221</v>
      </c>
      <c r="I14" s="42" t="s">
        <v>219</v>
      </c>
      <c r="J14" s="22" t="str">
        <f>IF(V14=1,"Prop - No Replacement","No Action")</f>
        <v>No Action</v>
      </c>
      <c r="K14" s="22">
        <f>VLOOKUP(H14&amp;I14&amp;J14,StateTransitionProbabilty!$A$4:$J$28,10,FALSE)</f>
        <v>0</v>
      </c>
      <c r="L14" s="22">
        <f>VLOOKUP(H14&amp;I14&amp;J14,StateTransitionProbabilty!$A$4:$K$28,11,FALSE)</f>
        <v>0</v>
      </c>
      <c r="M14" s="22" t="str">
        <f>VLOOKUP(H14&amp;I14&amp;J14,StateTransitionProbabilty!$A$4:$L$28,12,FALSE)</f>
        <v>Med-Low</v>
      </c>
      <c r="N14" s="22">
        <f t="shared" si="0"/>
        <v>0</v>
      </c>
      <c r="O14" s="22">
        <f t="shared" si="1"/>
        <v>0</v>
      </c>
      <c r="P14" s="22" t="str">
        <f t="shared" si="2"/>
        <v>011000</v>
      </c>
      <c r="Q14" s="22" t="str">
        <f t="shared" si="3"/>
        <v>011000</v>
      </c>
      <c r="R14" s="22">
        <f>'Optimization &amp; HucToHuc_Lookup'!V$162</f>
        <v>0</v>
      </c>
      <c r="S14" s="42">
        <f>IF(R14=0,0,VLOOKUP(A14&amp;1&amp;"*",'Optimization &amp; HucToHuc_Lookup'!$A$33:$D$158,3,FALSE))</f>
        <v>0</v>
      </c>
      <c r="T14" s="22">
        <f>IF(S14=0,0,VLOOKUP('Huc-12 Selection Results'!A14,'Optimization &amp; HucToHuc_Lookup'!$A$2:$G$29,VLOOKUP(S14,'Optimization &amp; HucToHuc_Lookup'!$I$2:$J$7,2,FALSE),FALSE))</f>
        <v>0</v>
      </c>
      <c r="U14" s="1">
        <v>1</v>
      </c>
      <c r="V14" s="16">
        <v>0</v>
      </c>
      <c r="W14" s="22">
        <f t="shared" si="4"/>
        <v>0</v>
      </c>
      <c r="X14" s="22">
        <f t="shared" si="8"/>
        <v>0</v>
      </c>
      <c r="Y14" s="22">
        <f t="shared" si="5"/>
        <v>0</v>
      </c>
      <c r="Z14" s="22">
        <f t="shared" si="6"/>
        <v>0</v>
      </c>
      <c r="AA14" s="22">
        <f t="shared" si="7"/>
        <v>0.6</v>
      </c>
      <c r="AB14" s="24">
        <f>VLOOKUP(H14&amp;I14&amp;J14,StateTransitionProbabilty!$A$4:$M$28,13,FALSE)</f>
        <v>0.1100372</v>
      </c>
    </row>
    <row r="15" spans="1:28" x14ac:dyDescent="0.25">
      <c r="A15" s="22">
        <v>13</v>
      </c>
      <c r="B15" s="1">
        <v>9</v>
      </c>
      <c r="C15" s="1" t="s">
        <v>69</v>
      </c>
      <c r="D15" s="1" t="s">
        <v>70</v>
      </c>
      <c r="E15" s="1" t="s">
        <v>46</v>
      </c>
      <c r="F15" s="1" t="s">
        <v>47</v>
      </c>
      <c r="G15" s="1" t="s">
        <v>34</v>
      </c>
      <c r="H15" s="42" t="s">
        <v>221</v>
      </c>
      <c r="I15" s="42" t="s">
        <v>219</v>
      </c>
      <c r="J15" s="22" t="str">
        <f>IF(V15=1,"Prop - No Replacement","No Action")</f>
        <v>No Action</v>
      </c>
      <c r="K15" s="22">
        <f>VLOOKUP(H15&amp;I15&amp;J15,StateTransitionProbabilty!$A$4:$J$28,10,FALSE)</f>
        <v>0</v>
      </c>
      <c r="L15" s="22">
        <f>VLOOKUP(H15&amp;I15&amp;J15,StateTransitionProbabilty!$A$4:$K$28,11,FALSE)</f>
        <v>0</v>
      </c>
      <c r="M15" s="22" t="str">
        <f>VLOOKUP(H15&amp;I15&amp;J15,StateTransitionProbabilty!$A$4:$L$28,12,FALSE)</f>
        <v>Med-Low</v>
      </c>
      <c r="N15" s="22">
        <f t="shared" si="0"/>
        <v>0</v>
      </c>
      <c r="O15" s="22">
        <f t="shared" si="1"/>
        <v>0</v>
      </c>
      <c r="P15" s="22" t="str">
        <f t="shared" si="2"/>
        <v>011000</v>
      </c>
      <c r="Q15" s="22" t="str">
        <f t="shared" si="3"/>
        <v>011000</v>
      </c>
      <c r="R15" s="22">
        <f>'Optimization &amp; HucToHuc_Lookup'!W$162</f>
        <v>0</v>
      </c>
      <c r="S15" s="42">
        <f>IF(R15=0,0,VLOOKUP(A15&amp;1&amp;"*",'Optimization &amp; HucToHuc_Lookup'!$A$33:$D$158,3,FALSE))</f>
        <v>0</v>
      </c>
      <c r="T15" s="22">
        <f>IF(S15=0,0,VLOOKUP('Huc-12 Selection Results'!A15,'Optimization &amp; HucToHuc_Lookup'!$A$2:$G$29,VLOOKUP(S15,'Optimization &amp; HucToHuc_Lookup'!$I$2:$J$7,2,FALSE),FALSE))</f>
        <v>0</v>
      </c>
      <c r="U15" s="1">
        <v>1</v>
      </c>
      <c r="V15" s="16">
        <v>0</v>
      </c>
      <c r="W15" s="22">
        <f t="shared" si="4"/>
        <v>0</v>
      </c>
      <c r="X15" s="22">
        <f t="shared" si="8"/>
        <v>0</v>
      </c>
      <c r="Y15" s="22">
        <f t="shared" si="5"/>
        <v>0</v>
      </c>
      <c r="Z15" s="22">
        <f t="shared" si="6"/>
        <v>0</v>
      </c>
      <c r="AA15" s="22">
        <f t="shared" si="7"/>
        <v>0.6</v>
      </c>
      <c r="AB15" s="24">
        <f>VLOOKUP(H15&amp;I15&amp;J15,StateTransitionProbabilty!$A$4:$M$28,13,FALSE)</f>
        <v>0.1100372</v>
      </c>
    </row>
    <row r="16" spans="1:28" x14ac:dyDescent="0.25">
      <c r="A16" s="22">
        <v>14</v>
      </c>
      <c r="B16" s="1">
        <v>10</v>
      </c>
      <c r="C16" s="1" t="s">
        <v>71</v>
      </c>
      <c r="D16" s="1" t="s">
        <v>72</v>
      </c>
      <c r="E16" s="1" t="s">
        <v>46</v>
      </c>
      <c r="F16" s="1" t="s">
        <v>47</v>
      </c>
      <c r="G16" s="1" t="s">
        <v>34</v>
      </c>
      <c r="H16" s="42" t="s">
        <v>221</v>
      </c>
      <c r="I16" s="42" t="s">
        <v>219</v>
      </c>
      <c r="J16" s="22" t="str">
        <f>IF(V16=1,"Prop - No Replacement","No Action")</f>
        <v>No Action</v>
      </c>
      <c r="K16" s="22">
        <f>VLOOKUP(H16&amp;I16&amp;J16,StateTransitionProbabilty!$A$4:$J$28,10,FALSE)</f>
        <v>0</v>
      </c>
      <c r="L16" s="22">
        <f>VLOOKUP(H16&amp;I16&amp;J16,StateTransitionProbabilty!$A$4:$K$28,11,FALSE)</f>
        <v>0</v>
      </c>
      <c r="M16" s="22" t="str">
        <f>VLOOKUP(H16&amp;I16&amp;J16,StateTransitionProbabilty!$A$4:$L$28,12,FALSE)</f>
        <v>Med-Low</v>
      </c>
      <c r="N16" s="22">
        <f t="shared" si="0"/>
        <v>0</v>
      </c>
      <c r="O16" s="22">
        <f t="shared" si="1"/>
        <v>0</v>
      </c>
      <c r="P16" s="22" t="str">
        <f t="shared" si="2"/>
        <v>011000</v>
      </c>
      <c r="Q16" s="22" t="str">
        <f t="shared" si="3"/>
        <v>011000</v>
      </c>
      <c r="R16" s="22">
        <f>'Optimization &amp; HucToHuc_Lookup'!X$162</f>
        <v>0</v>
      </c>
      <c r="S16" s="42">
        <f>IF(R16=0,0,VLOOKUP(A16&amp;1&amp;"*",'Optimization &amp; HucToHuc_Lookup'!$A$33:$D$158,3,FALSE))</f>
        <v>0</v>
      </c>
      <c r="T16" s="22">
        <f>IF(S16=0,0,VLOOKUP('Huc-12 Selection Results'!A16,'Optimization &amp; HucToHuc_Lookup'!$A$2:$G$29,VLOOKUP(S16,'Optimization &amp; HucToHuc_Lookup'!$I$2:$J$7,2,FALSE),FALSE))</f>
        <v>0</v>
      </c>
      <c r="U16" s="1">
        <v>1</v>
      </c>
      <c r="V16" s="16">
        <v>0</v>
      </c>
      <c r="W16" s="22">
        <f t="shared" si="4"/>
        <v>0</v>
      </c>
      <c r="X16" s="22">
        <f t="shared" si="8"/>
        <v>0</v>
      </c>
      <c r="Y16" s="22">
        <f t="shared" si="5"/>
        <v>0</v>
      </c>
      <c r="Z16" s="22">
        <f t="shared" si="6"/>
        <v>0</v>
      </c>
      <c r="AA16" s="22">
        <f t="shared" si="7"/>
        <v>0.6</v>
      </c>
      <c r="AB16" s="24">
        <f>VLOOKUP(H16&amp;I16&amp;J16,StateTransitionProbabilty!$A$4:$M$28,13,FALSE)</f>
        <v>0.1100372</v>
      </c>
    </row>
    <row r="17" spans="1:28" x14ac:dyDescent="0.25">
      <c r="A17" s="22">
        <v>15</v>
      </c>
      <c r="B17" s="1">
        <v>13</v>
      </c>
      <c r="C17" s="1" t="s">
        <v>77</v>
      </c>
      <c r="D17" s="1" t="s">
        <v>78</v>
      </c>
      <c r="E17" s="1" t="s">
        <v>46</v>
      </c>
      <c r="F17" s="1" t="s">
        <v>47</v>
      </c>
      <c r="G17" s="1" t="s">
        <v>34</v>
      </c>
      <c r="H17" s="42" t="s">
        <v>221</v>
      </c>
      <c r="I17" s="42" t="s">
        <v>219</v>
      </c>
      <c r="J17" s="22" t="str">
        <f>IF(V17=1,"Prop - No Replacement","No Action")</f>
        <v>No Action</v>
      </c>
      <c r="K17" s="22">
        <f>VLOOKUP(H17&amp;I17&amp;J17,StateTransitionProbabilty!$A$4:$J$28,10,FALSE)</f>
        <v>0</v>
      </c>
      <c r="L17" s="22">
        <f>VLOOKUP(H17&amp;I17&amp;J17,StateTransitionProbabilty!$A$4:$K$28,11,FALSE)</f>
        <v>0</v>
      </c>
      <c r="M17" s="22" t="str">
        <f>VLOOKUP(H17&amp;I17&amp;J17,StateTransitionProbabilty!$A$4:$L$28,12,FALSE)</f>
        <v>Med-Low</v>
      </c>
      <c r="N17" s="22">
        <f t="shared" si="0"/>
        <v>0</v>
      </c>
      <c r="O17" s="22">
        <f t="shared" si="1"/>
        <v>0</v>
      </c>
      <c r="P17" s="22" t="str">
        <f t="shared" si="2"/>
        <v>011000</v>
      </c>
      <c r="Q17" s="22" t="str">
        <f t="shared" si="3"/>
        <v>011000</v>
      </c>
      <c r="R17" s="22">
        <f>'Optimization &amp; HucToHuc_Lookup'!Y$162</f>
        <v>0</v>
      </c>
      <c r="S17" s="42">
        <f>IF(R17=0,0,VLOOKUP(A17&amp;1&amp;"*",'Optimization &amp; HucToHuc_Lookup'!$A$33:$D$158,3,FALSE))</f>
        <v>0</v>
      </c>
      <c r="T17" s="22">
        <f>IF(S17=0,0,VLOOKUP('Huc-12 Selection Results'!A17,'Optimization &amp; HucToHuc_Lookup'!$A$2:$G$29,VLOOKUP(S17,'Optimization &amp; HucToHuc_Lookup'!$I$2:$J$7,2,FALSE),FALSE))</f>
        <v>0</v>
      </c>
      <c r="U17" s="1">
        <v>1</v>
      </c>
      <c r="V17" s="16">
        <f>COUNTIF($S$3:$S$23,B17)</f>
        <v>0</v>
      </c>
      <c r="W17" s="22">
        <f t="shared" si="4"/>
        <v>0</v>
      </c>
      <c r="X17" s="22">
        <f t="shared" si="8"/>
        <v>0</v>
      </c>
      <c r="Y17" s="22">
        <f t="shared" si="5"/>
        <v>0</v>
      </c>
      <c r="Z17" s="22">
        <f t="shared" si="6"/>
        <v>0</v>
      </c>
      <c r="AA17" s="22">
        <f t="shared" si="7"/>
        <v>0.6</v>
      </c>
      <c r="AB17" s="24">
        <f>VLOOKUP(H17&amp;I17&amp;J17,StateTransitionProbabilty!$A$4:$M$28,13,FALSE)</f>
        <v>0.1100372</v>
      </c>
    </row>
    <row r="18" spans="1:28" x14ac:dyDescent="0.25">
      <c r="A18" s="22">
        <v>20</v>
      </c>
      <c r="B18" s="1">
        <v>19</v>
      </c>
      <c r="C18" s="1" t="s">
        <v>91</v>
      </c>
      <c r="D18" s="1" t="s">
        <v>92</v>
      </c>
      <c r="E18" s="1" t="s">
        <v>39</v>
      </c>
      <c r="F18" s="1" t="s">
        <v>40</v>
      </c>
      <c r="G18" s="1" t="s">
        <v>58</v>
      </c>
      <c r="H18" s="42" t="s">
        <v>220</v>
      </c>
      <c r="I18" s="42">
        <v>0</v>
      </c>
      <c r="J18" s="22" t="str">
        <f t="shared" ref="J18:J23" si="9">IF(AND(R18=0,V18=0),"No Action","Introduction")</f>
        <v>Introduction</v>
      </c>
      <c r="K18" s="22" t="str">
        <f>VLOOKUP(H18&amp;I18&amp;J18,StateTransitionProbabilty!$A$4:$J$28,10,FALSE)</f>
        <v>Low</v>
      </c>
      <c r="L18" s="22">
        <f>VLOOKUP(H18&amp;I18&amp;J18,StateTransitionProbabilty!$A$4:$K$28,11,FALSE)</f>
        <v>0</v>
      </c>
      <c r="M18" s="22" t="str">
        <f>VLOOKUP(H18&amp;I18&amp;J18,StateTransitionProbabilty!$A$4:$L$28,12,FALSE)</f>
        <v>High</v>
      </c>
      <c r="N18" s="22" t="str">
        <f t="shared" si="0"/>
        <v>010802</v>
      </c>
      <c r="O18" s="22">
        <f t="shared" si="1"/>
        <v>0</v>
      </c>
      <c r="P18" s="22" t="str">
        <f t="shared" si="2"/>
        <v>010802</v>
      </c>
      <c r="Q18" s="22" t="str">
        <f t="shared" si="3"/>
        <v>010802</v>
      </c>
      <c r="R18" s="22">
        <f>'Optimization &amp; HucToHuc_Lookup'!Z$162</f>
        <v>1</v>
      </c>
      <c r="S18" s="42">
        <f>IF(R18=0,0,VLOOKUP(A18&amp;1&amp;"*",'Optimization &amp; HucToHuc_Lookup'!$A$33:$D$158,3,FALSE))</f>
        <v>6</v>
      </c>
      <c r="T18" s="22">
        <f>IF(S18=0,0,VLOOKUP('Huc-12 Selection Results'!A18,'Optimization &amp; HucToHuc_Lookup'!$A$2:$G$29,VLOOKUP(S18,'Optimization &amp; HucToHuc_Lookup'!$I$2:$J$7,2,FALSE),FALSE))</f>
        <v>0.5</v>
      </c>
      <c r="U18" s="1"/>
      <c r="V18" s="16">
        <v>0</v>
      </c>
      <c r="W18" s="22">
        <f t="shared" si="4"/>
        <v>0</v>
      </c>
      <c r="X18" s="22">
        <f t="shared" si="8"/>
        <v>1</v>
      </c>
      <c r="Y18" s="22">
        <f t="shared" si="5"/>
        <v>0.2</v>
      </c>
      <c r="Z18" s="22">
        <f t="shared" si="6"/>
        <v>0</v>
      </c>
      <c r="AA18" s="22">
        <f t="shared" si="7"/>
        <v>1</v>
      </c>
      <c r="AB18" s="24">
        <f>VLOOKUP(H18&amp;I18&amp;J18,StateTransitionProbabilty!$A$4:$M$28,13,FALSE)</f>
        <v>0.57473180000000001</v>
      </c>
    </row>
    <row r="19" spans="1:28" x14ac:dyDescent="0.25">
      <c r="A19" s="22">
        <v>28</v>
      </c>
      <c r="B19" s="1">
        <v>27</v>
      </c>
      <c r="C19" s="1" t="s">
        <v>109</v>
      </c>
      <c r="D19" s="1" t="s">
        <v>110</v>
      </c>
      <c r="E19" s="1" t="s">
        <v>60</v>
      </c>
      <c r="F19" s="1" t="s">
        <v>61</v>
      </c>
      <c r="G19" s="1" t="s">
        <v>58</v>
      </c>
      <c r="H19" s="42" t="s">
        <v>220</v>
      </c>
      <c r="I19" s="42">
        <v>0</v>
      </c>
      <c r="J19" s="22" t="str">
        <f t="shared" si="9"/>
        <v>Introduction</v>
      </c>
      <c r="K19" s="22" t="str">
        <f>VLOOKUP(H19&amp;I19&amp;J19,StateTransitionProbabilty!$A$4:$J$28,10,FALSE)</f>
        <v>Low</v>
      </c>
      <c r="L19" s="22">
        <f>VLOOKUP(H19&amp;I19&amp;J19,StateTransitionProbabilty!$A$4:$K$28,11,FALSE)</f>
        <v>0</v>
      </c>
      <c r="M19" s="22" t="str">
        <f>VLOOKUP(H19&amp;I19&amp;J19,StateTransitionProbabilty!$A$4:$L$28,12,FALSE)</f>
        <v>High</v>
      </c>
      <c r="N19" s="22" t="str">
        <f t="shared" si="0"/>
        <v>010700</v>
      </c>
      <c r="O19" s="22">
        <f t="shared" si="1"/>
        <v>0</v>
      </c>
      <c r="P19" s="22" t="str">
        <f t="shared" si="2"/>
        <v>010700</v>
      </c>
      <c r="Q19" s="22" t="str">
        <f t="shared" si="3"/>
        <v>010700</v>
      </c>
      <c r="R19" s="22">
        <f>'Optimization &amp; HucToHuc_Lookup'!AA$162</f>
        <v>1</v>
      </c>
      <c r="S19" s="42">
        <f>IF(R19=0,0,VLOOKUP(A19&amp;1&amp;"*",'Optimization &amp; HucToHuc_Lookup'!$A$33:$D$158,3,FALSE))</f>
        <v>4</v>
      </c>
      <c r="T19" s="22">
        <f>IF(S19=0,0,VLOOKUP('Huc-12 Selection Results'!A19,'Optimization &amp; HucToHuc_Lookup'!$A$2:$G$29,VLOOKUP(S19,'Optimization &amp; HucToHuc_Lookup'!$I$2:$J$7,2,FALSE),FALSE))</f>
        <v>0.5</v>
      </c>
      <c r="U19" s="1"/>
      <c r="V19" s="16">
        <v>0</v>
      </c>
      <c r="W19" s="22">
        <f t="shared" si="4"/>
        <v>0</v>
      </c>
      <c r="X19" s="22">
        <f t="shared" si="8"/>
        <v>1</v>
      </c>
      <c r="Y19" s="22">
        <f t="shared" si="5"/>
        <v>0.2</v>
      </c>
      <c r="Z19" s="22">
        <f t="shared" si="6"/>
        <v>0</v>
      </c>
      <c r="AA19" s="22">
        <f t="shared" si="7"/>
        <v>1</v>
      </c>
      <c r="AB19" s="24">
        <f>VLOOKUP(H19&amp;I19&amp;J19,StateTransitionProbabilty!$A$4:$M$28,13,FALSE)</f>
        <v>0.57473180000000001</v>
      </c>
    </row>
    <row r="20" spans="1:28" x14ac:dyDescent="0.25">
      <c r="A20" s="22">
        <v>38</v>
      </c>
      <c r="B20" s="1">
        <v>37</v>
      </c>
      <c r="C20" s="1" t="s">
        <v>133</v>
      </c>
      <c r="D20" s="1" t="s">
        <v>134</v>
      </c>
      <c r="E20" s="1" t="s">
        <v>46</v>
      </c>
      <c r="F20" s="1" t="s">
        <v>47</v>
      </c>
      <c r="G20" s="1" t="s">
        <v>58</v>
      </c>
      <c r="H20" s="42" t="s">
        <v>220</v>
      </c>
      <c r="I20" s="42">
        <v>0</v>
      </c>
      <c r="J20" s="22" t="str">
        <f t="shared" si="9"/>
        <v>Introduction</v>
      </c>
      <c r="K20" s="22" t="str">
        <f>VLOOKUP(H20&amp;I20&amp;J20,StateTransitionProbabilty!$A$4:$J$28,10,FALSE)</f>
        <v>Low</v>
      </c>
      <c r="L20" s="22">
        <f>VLOOKUP(H20&amp;I20&amp;J20,StateTransitionProbabilty!$A$4:$K$28,11,FALSE)</f>
        <v>0</v>
      </c>
      <c r="M20" s="22" t="str">
        <f>VLOOKUP(H20&amp;I20&amp;J20,StateTransitionProbabilty!$A$4:$L$28,12,FALSE)</f>
        <v>High</v>
      </c>
      <c r="N20" s="22" t="str">
        <f t="shared" si="0"/>
        <v>011000</v>
      </c>
      <c r="O20" s="22">
        <f t="shared" si="1"/>
        <v>0</v>
      </c>
      <c r="P20" s="22" t="str">
        <f t="shared" si="2"/>
        <v>011000</v>
      </c>
      <c r="Q20" s="22" t="str">
        <f t="shared" si="3"/>
        <v>011000</v>
      </c>
      <c r="R20" s="22">
        <f>'Optimization &amp; HucToHuc_Lookup'!AB$162</f>
        <v>1</v>
      </c>
      <c r="S20" s="42">
        <f>IF(R20=0,0,VLOOKUP(A20&amp;1&amp;"*",'Optimization &amp; HucToHuc_Lookup'!$A$33:$D$158,3,FALSE))</f>
        <v>2</v>
      </c>
      <c r="T20" s="22">
        <f>IF(S20=0,0,VLOOKUP('Huc-12 Selection Results'!A20,'Optimization &amp; HucToHuc_Lookup'!$A$2:$G$29,VLOOKUP(S20,'Optimization &amp; HucToHuc_Lookup'!$I$2:$J$7,2,FALSE),FALSE))</f>
        <v>0.25</v>
      </c>
      <c r="U20" s="1"/>
      <c r="V20" s="16">
        <v>0</v>
      </c>
      <c r="W20" s="22">
        <f t="shared" si="4"/>
        <v>0</v>
      </c>
      <c r="X20" s="22">
        <f t="shared" si="8"/>
        <v>1</v>
      </c>
      <c r="Y20" s="22">
        <f t="shared" si="5"/>
        <v>0.2</v>
      </c>
      <c r="Z20" s="22">
        <f t="shared" si="6"/>
        <v>0</v>
      </c>
      <c r="AA20" s="22">
        <f t="shared" si="7"/>
        <v>1</v>
      </c>
      <c r="AB20" s="24">
        <f>VLOOKUP(H20&amp;I20&amp;J20,StateTransitionProbabilty!$A$4:$M$28,13,FALSE)</f>
        <v>0.57473180000000001</v>
      </c>
    </row>
    <row r="21" spans="1:28" x14ac:dyDescent="0.25">
      <c r="A21" s="22">
        <v>39</v>
      </c>
      <c r="B21" s="1">
        <v>38</v>
      </c>
      <c r="C21" s="1" t="s">
        <v>135</v>
      </c>
      <c r="D21" s="1" t="s">
        <v>136</v>
      </c>
      <c r="E21" s="1" t="s">
        <v>39</v>
      </c>
      <c r="F21" s="1" t="s">
        <v>40</v>
      </c>
      <c r="G21" s="1" t="s">
        <v>58</v>
      </c>
      <c r="H21" s="42" t="s">
        <v>220</v>
      </c>
      <c r="I21" s="42">
        <v>0</v>
      </c>
      <c r="J21" s="22" t="str">
        <f t="shared" si="9"/>
        <v>Introduction</v>
      </c>
      <c r="K21" s="22" t="str">
        <f>VLOOKUP(H21&amp;I21&amp;J21,StateTransitionProbabilty!$A$4:$J$28,10,FALSE)</f>
        <v>Low</v>
      </c>
      <c r="L21" s="22">
        <f>VLOOKUP(H21&amp;I21&amp;J21,StateTransitionProbabilty!$A$4:$K$28,11,FALSE)</f>
        <v>0</v>
      </c>
      <c r="M21" s="22" t="str">
        <f>VLOOKUP(H21&amp;I21&amp;J21,StateTransitionProbabilty!$A$4:$L$28,12,FALSE)</f>
        <v>High</v>
      </c>
      <c r="N21" s="22" t="str">
        <f t="shared" si="0"/>
        <v>010802</v>
      </c>
      <c r="O21" s="22">
        <f t="shared" si="1"/>
        <v>0</v>
      </c>
      <c r="P21" s="22" t="str">
        <f t="shared" si="2"/>
        <v>010802</v>
      </c>
      <c r="Q21" s="22" t="str">
        <f t="shared" si="3"/>
        <v>010802</v>
      </c>
      <c r="R21" s="22">
        <f>'Optimization &amp; HucToHuc_Lookup'!AC$162</f>
        <v>1</v>
      </c>
      <c r="S21" s="42">
        <f>IF(R21=0,0,VLOOKUP(A21&amp;1&amp;"*",'Optimization &amp; HucToHuc_Lookup'!$A$33:$D$158,3,FALSE))</f>
        <v>9</v>
      </c>
      <c r="T21" s="22">
        <f>IF(S21=0,0,VLOOKUP('Huc-12 Selection Results'!A21,'Optimization &amp; HucToHuc_Lookup'!$A$2:$G$29,VLOOKUP(S21,'Optimization &amp; HucToHuc_Lookup'!$I$2:$J$7,2,FALSE),FALSE))</f>
        <v>0.25</v>
      </c>
      <c r="U21" s="1"/>
      <c r="V21" s="16">
        <v>0</v>
      </c>
      <c r="W21" s="22">
        <f t="shared" si="4"/>
        <v>0</v>
      </c>
      <c r="X21" s="22">
        <f t="shared" si="8"/>
        <v>1</v>
      </c>
      <c r="Y21" s="22">
        <f t="shared" si="5"/>
        <v>0.2</v>
      </c>
      <c r="Z21" s="22">
        <f t="shared" si="6"/>
        <v>0</v>
      </c>
      <c r="AA21" s="22">
        <f t="shared" si="7"/>
        <v>1</v>
      </c>
      <c r="AB21" s="24">
        <f>VLOOKUP(H21&amp;I21&amp;J21,StateTransitionProbabilty!$A$4:$M$28,13,FALSE)</f>
        <v>0.57473180000000001</v>
      </c>
    </row>
    <row r="22" spans="1:28" x14ac:dyDescent="0.25">
      <c r="A22" s="22">
        <v>45</v>
      </c>
      <c r="B22" s="1">
        <v>44</v>
      </c>
      <c r="C22" s="1" t="s">
        <v>145</v>
      </c>
      <c r="D22" s="1" t="s">
        <v>146</v>
      </c>
      <c r="E22" s="1" t="s">
        <v>60</v>
      </c>
      <c r="F22" s="1" t="s">
        <v>61</v>
      </c>
      <c r="G22" s="1" t="s">
        <v>58</v>
      </c>
      <c r="H22" s="42" t="s">
        <v>220</v>
      </c>
      <c r="I22" s="42">
        <v>0</v>
      </c>
      <c r="J22" s="22" t="str">
        <f t="shared" si="9"/>
        <v>Introduction</v>
      </c>
      <c r="K22" s="22" t="str">
        <f>VLOOKUP(H22&amp;I22&amp;J22,StateTransitionProbabilty!$A$4:$J$28,10,FALSE)</f>
        <v>Low</v>
      </c>
      <c r="L22" s="22">
        <f>VLOOKUP(H22&amp;I22&amp;J22,StateTransitionProbabilty!$A$4:$K$28,11,FALSE)</f>
        <v>0</v>
      </c>
      <c r="M22" s="22" t="str">
        <f>VLOOKUP(H22&amp;I22&amp;J22,StateTransitionProbabilty!$A$4:$L$28,12,FALSE)</f>
        <v>High</v>
      </c>
      <c r="N22" s="22" t="str">
        <f t="shared" si="0"/>
        <v>010700</v>
      </c>
      <c r="O22" s="22">
        <f t="shared" si="1"/>
        <v>0</v>
      </c>
      <c r="P22" s="22" t="str">
        <f t="shared" si="2"/>
        <v>010700</v>
      </c>
      <c r="Q22" s="22" t="str">
        <f t="shared" si="3"/>
        <v>010700</v>
      </c>
      <c r="R22" s="22">
        <f>'Optimization &amp; HucToHuc_Lookup'!AD$162</f>
        <v>1</v>
      </c>
      <c r="S22" s="42">
        <f>IF(R22=0,0,VLOOKUP(A22&amp;1&amp;"*",'Optimization &amp; HucToHuc_Lookup'!$A$33:$D$158,3,FALSE))</f>
        <v>4</v>
      </c>
      <c r="T22" s="22">
        <f>IF(S22=0,0,VLOOKUP('Huc-12 Selection Results'!A22,'Optimization &amp; HucToHuc_Lookup'!$A$2:$G$29,VLOOKUP(S22,'Optimization &amp; HucToHuc_Lookup'!$I$2:$J$7,2,FALSE),FALSE))</f>
        <v>0.5</v>
      </c>
      <c r="U22" s="1"/>
      <c r="V22" s="16">
        <v>0</v>
      </c>
      <c r="W22" s="22">
        <f t="shared" si="4"/>
        <v>0</v>
      </c>
      <c r="X22" s="22">
        <f t="shared" si="8"/>
        <v>1</v>
      </c>
      <c r="Y22" s="22">
        <f t="shared" si="5"/>
        <v>0.2</v>
      </c>
      <c r="Z22" s="22">
        <f t="shared" si="6"/>
        <v>0</v>
      </c>
      <c r="AA22" s="22">
        <f t="shared" si="7"/>
        <v>1</v>
      </c>
      <c r="AB22" s="24">
        <f>VLOOKUP(H22&amp;I22&amp;J22,StateTransitionProbabilty!$A$4:$M$28,13,FALSE)</f>
        <v>0.57473180000000001</v>
      </c>
    </row>
    <row r="23" spans="1:28" x14ac:dyDescent="0.25">
      <c r="A23" s="22">
        <v>46</v>
      </c>
      <c r="B23" s="1">
        <v>45</v>
      </c>
      <c r="C23" s="1" t="s">
        <v>147</v>
      </c>
      <c r="D23" s="1" t="s">
        <v>148</v>
      </c>
      <c r="E23" s="1" t="s">
        <v>46</v>
      </c>
      <c r="F23" s="1" t="s">
        <v>47</v>
      </c>
      <c r="G23" s="1" t="s">
        <v>34</v>
      </c>
      <c r="H23" s="42" t="s">
        <v>220</v>
      </c>
      <c r="I23" s="42">
        <v>0</v>
      </c>
      <c r="J23" s="22" t="str">
        <f t="shared" si="9"/>
        <v>Introduction</v>
      </c>
      <c r="K23" s="22" t="str">
        <f>VLOOKUP(H23&amp;I23&amp;J23,StateTransitionProbabilty!$A$4:$J$28,10,FALSE)</f>
        <v>Low</v>
      </c>
      <c r="L23" s="22">
        <f>VLOOKUP(H23&amp;I23&amp;J23,StateTransitionProbabilty!$A$4:$K$28,11,FALSE)</f>
        <v>0</v>
      </c>
      <c r="M23" s="22" t="str">
        <f>VLOOKUP(H23&amp;I23&amp;J23,StateTransitionProbabilty!$A$4:$L$28,12,FALSE)</f>
        <v>High</v>
      </c>
      <c r="N23" s="22" t="str">
        <f t="shared" si="0"/>
        <v>011000</v>
      </c>
      <c r="O23" s="22">
        <f t="shared" si="1"/>
        <v>0</v>
      </c>
      <c r="P23" s="22" t="str">
        <f t="shared" si="2"/>
        <v>011000</v>
      </c>
      <c r="Q23" s="22" t="str">
        <f t="shared" si="3"/>
        <v>011000</v>
      </c>
      <c r="R23" s="22">
        <f>'Optimization &amp; HucToHuc_Lookup'!AE$162</f>
        <v>1</v>
      </c>
      <c r="S23" s="42">
        <f>IF(R23=0,0,VLOOKUP(A23&amp;1&amp;"*",'Optimization &amp; HucToHuc_Lookup'!$A$33:$D$158,3,FALSE))</f>
        <v>2</v>
      </c>
      <c r="T23" s="22">
        <f>IF(S23=0,0,VLOOKUP('Huc-12 Selection Results'!A23,'Optimization &amp; HucToHuc_Lookup'!$A$2:$G$29,VLOOKUP(S23,'Optimization &amp; HucToHuc_Lookup'!$I$2:$J$7,2,FALSE),FALSE))</f>
        <v>0.25</v>
      </c>
      <c r="U23" s="1"/>
      <c r="V23" s="16">
        <v>0</v>
      </c>
      <c r="W23" s="22">
        <f t="shared" si="4"/>
        <v>0</v>
      </c>
      <c r="X23" s="22">
        <f t="shared" si="8"/>
        <v>1</v>
      </c>
      <c r="Y23" s="22">
        <f t="shared" si="5"/>
        <v>0.2</v>
      </c>
      <c r="Z23" s="22">
        <f t="shared" si="6"/>
        <v>0</v>
      </c>
      <c r="AA23" s="22">
        <f t="shared" si="7"/>
        <v>1</v>
      </c>
      <c r="AB23" s="24">
        <f>VLOOKUP(H23&amp;I23&amp;J23,StateTransitionProbabilty!$A$4:$M$28,13,FALSE)</f>
        <v>0.57473180000000001</v>
      </c>
    </row>
    <row r="24" spans="1:28" x14ac:dyDescent="0.25">
      <c r="A24" s="67">
        <v>47</v>
      </c>
      <c r="B24" s="68"/>
      <c r="C24" s="68"/>
      <c r="D24" s="68" t="s">
        <v>216</v>
      </c>
      <c r="E24" s="68" t="s">
        <v>215</v>
      </c>
      <c r="F24" s="68"/>
      <c r="G24" s="68" t="s">
        <v>215</v>
      </c>
      <c r="H24" s="68" t="s">
        <v>220</v>
      </c>
      <c r="I24" s="68" t="s">
        <v>223</v>
      </c>
      <c r="J24" s="67" t="str">
        <f>IF(AND(R24=0,S24=0),"No Action","Prop (source only)")</f>
        <v>No Action</v>
      </c>
      <c r="K24" s="67" t="str">
        <f>VLOOKUP(H24&amp;I24&amp;J24,StateTransitionProbabilty!$A$4:$J$28,10,FALSE)</f>
        <v>High</v>
      </c>
      <c r="L24" s="67" t="str">
        <f>VLOOKUP(H24&amp;I24&amp;J24,StateTransitionProbabilty!$A$4:$K$28,11,FALSE)</f>
        <v>Med-High</v>
      </c>
      <c r="M24" s="67" t="str">
        <f>VLOOKUP(H24&amp;I24&amp;J24,StateTransitionProbabilty!$A$4:$L$28,12,FALSE)</f>
        <v>High</v>
      </c>
      <c r="N24" s="67" t="str">
        <f t="shared" si="0"/>
        <v>Maine</v>
      </c>
      <c r="O24" s="67" t="str">
        <f t="shared" si="1"/>
        <v>Maine</v>
      </c>
      <c r="P24" s="67" t="str">
        <f t="shared" si="2"/>
        <v>Maine</v>
      </c>
      <c r="Q24" s="67" t="str">
        <f t="shared" si="3"/>
        <v>Maine</v>
      </c>
      <c r="R24" s="68"/>
      <c r="S24" s="67">
        <f>COUNTIF($S$3:$S$23,A24)</f>
        <v>0</v>
      </c>
      <c r="T24" s="67">
        <f>IF(S24=0,0,VLOOKUP(I24,$M$28:$N$31,2,FALSE)*S24)</f>
        <v>0</v>
      </c>
      <c r="U24" s="67">
        <f>VLOOKUP(K24,$O$28:$P$32,2,FALSE)</f>
        <v>1</v>
      </c>
      <c r="V24" s="22">
        <f>COUNTIF($S$3:$S$24,A24)</f>
        <v>0</v>
      </c>
      <c r="W24" s="67">
        <f>VLOOKUP(M24,$O$28:$P$32,2,FALSE)</f>
        <v>1</v>
      </c>
      <c r="X24" s="22">
        <f t="shared" si="8"/>
        <v>0</v>
      </c>
      <c r="Y24" s="67">
        <f>VLOOKUP(K24,$O$28:$P$32,2,FALSE)</f>
        <v>1</v>
      </c>
      <c r="Z24" s="67">
        <f t="shared" ref="Z24:AA24" si="10">VLOOKUP(L24,$O$28:$P$32,2,FALSE)</f>
        <v>0.9</v>
      </c>
      <c r="AA24" s="67">
        <f t="shared" si="10"/>
        <v>1</v>
      </c>
      <c r="AB24" s="69">
        <f>VLOOKUP(H24&amp;I24&amp;J24,StateTransitionProbabilty!$A$4:$M$28,13,FALSE)</f>
        <v>0.99000030000000006</v>
      </c>
    </row>
    <row r="25" spans="1:28" x14ac:dyDescent="0.25">
      <c r="B25" s="42"/>
      <c r="C25" s="42"/>
      <c r="D25" s="42"/>
      <c r="E25" s="42"/>
      <c r="F25" s="42"/>
      <c r="G25" s="42"/>
      <c r="H25" s="42"/>
      <c r="I25" s="42"/>
      <c r="J25" s="22"/>
      <c r="K25" s="22"/>
      <c r="L25" s="22"/>
      <c r="M25" s="42"/>
      <c r="N25" s="42"/>
      <c r="O25" s="42"/>
      <c r="P25" s="22"/>
    </row>
    <row r="26" spans="1:28" x14ac:dyDescent="0.25">
      <c r="E26" s="72" t="s">
        <v>183</v>
      </c>
      <c r="F26" s="72"/>
      <c r="K26" s="41"/>
    </row>
    <row r="27" spans="1:28" x14ac:dyDescent="0.25">
      <c r="E27" s="1" t="s">
        <v>25</v>
      </c>
      <c r="F27" s="59" t="s">
        <v>253</v>
      </c>
      <c r="G27" s="65" t="s">
        <v>251</v>
      </c>
      <c r="H27" s="65" t="s">
        <v>252</v>
      </c>
      <c r="I27" s="65" t="s">
        <v>254</v>
      </c>
      <c r="K27" s="72" t="s">
        <v>175</v>
      </c>
      <c r="L27" s="72"/>
      <c r="M27" s="72" t="s">
        <v>247</v>
      </c>
      <c r="N27" s="72"/>
      <c r="O27" s="72" t="s">
        <v>246</v>
      </c>
      <c r="P27" s="72"/>
    </row>
    <row r="28" spans="1:28" x14ac:dyDescent="0.25">
      <c r="E28" s="1" t="s">
        <v>39</v>
      </c>
      <c r="F28" s="1">
        <f>COUNTIF(N$3:N$23,$E28)</f>
        <v>7</v>
      </c>
      <c r="G28" s="42">
        <f t="shared" ref="G28:I30" si="11">COUNTIF(O$3:O$23,$E28)</f>
        <v>0</v>
      </c>
      <c r="H28" s="42">
        <f t="shared" si="11"/>
        <v>8</v>
      </c>
      <c r="I28" s="42">
        <f t="shared" si="11"/>
        <v>8</v>
      </c>
      <c r="K28" s="1" t="s">
        <v>171</v>
      </c>
      <c r="L28" s="4">
        <f>COUNTIF($N$3:$N$23,K28)</f>
        <v>0</v>
      </c>
      <c r="M28" s="42" t="s">
        <v>219</v>
      </c>
      <c r="N28" s="24">
        <v>8</v>
      </c>
      <c r="O28" s="1">
        <v>0</v>
      </c>
      <c r="P28" s="1">
        <v>0</v>
      </c>
    </row>
    <row r="29" spans="1:28" x14ac:dyDescent="0.25">
      <c r="E29" s="1" t="s">
        <v>46</v>
      </c>
      <c r="F29" s="42">
        <f t="shared" ref="F29:F30" si="12">COUNTIF(N$3:N$23,$E29)</f>
        <v>3</v>
      </c>
      <c r="G29" s="42">
        <f t="shared" si="11"/>
        <v>0</v>
      </c>
      <c r="H29" s="42">
        <f t="shared" si="11"/>
        <v>10</v>
      </c>
      <c r="I29" s="42">
        <f t="shared" si="11"/>
        <v>10</v>
      </c>
      <c r="K29" s="1" t="s">
        <v>172</v>
      </c>
      <c r="L29" s="4">
        <v>0.25</v>
      </c>
      <c r="M29" s="42" t="s">
        <v>218</v>
      </c>
      <c r="N29" s="24">
        <v>4</v>
      </c>
      <c r="O29" s="42" t="s">
        <v>219</v>
      </c>
      <c r="P29" s="24">
        <v>0.2</v>
      </c>
    </row>
    <row r="30" spans="1:28" x14ac:dyDescent="0.25">
      <c r="E30" s="1" t="s">
        <v>60</v>
      </c>
      <c r="F30" s="42">
        <f t="shared" si="12"/>
        <v>3</v>
      </c>
      <c r="G30" s="42">
        <f t="shared" si="11"/>
        <v>0</v>
      </c>
      <c r="H30" s="42">
        <f t="shared" si="11"/>
        <v>3</v>
      </c>
      <c r="I30" s="42">
        <f t="shared" si="11"/>
        <v>3</v>
      </c>
      <c r="K30" s="1" t="s">
        <v>178</v>
      </c>
      <c r="L30" s="4">
        <v>0.5</v>
      </c>
      <c r="M30" s="42" t="s">
        <v>232</v>
      </c>
      <c r="N30" s="24">
        <v>2</v>
      </c>
      <c r="O30" s="42" t="s">
        <v>218</v>
      </c>
      <c r="P30" s="24">
        <v>0.6</v>
      </c>
    </row>
    <row r="31" spans="1:28" x14ac:dyDescent="0.25">
      <c r="K31" s="1" t="s">
        <v>173</v>
      </c>
      <c r="L31" s="4">
        <v>0.75</v>
      </c>
      <c r="M31" s="42" t="s">
        <v>223</v>
      </c>
      <c r="N31" s="24">
        <v>1</v>
      </c>
      <c r="O31" s="42" t="s">
        <v>232</v>
      </c>
      <c r="P31" s="24">
        <v>0.9</v>
      </c>
    </row>
    <row r="32" spans="1:28" x14ac:dyDescent="0.25">
      <c r="K32" s="60" t="s">
        <v>174</v>
      </c>
      <c r="L32" s="61">
        <v>1</v>
      </c>
      <c r="M32"/>
      <c r="N32" s="23"/>
      <c r="O32" s="42" t="s">
        <v>223</v>
      </c>
      <c r="P32" s="24">
        <v>1</v>
      </c>
    </row>
    <row r="33" spans="4:13" x14ac:dyDescent="0.25">
      <c r="E33" s="59" t="s">
        <v>253</v>
      </c>
      <c r="F33" s="65" t="s">
        <v>251</v>
      </c>
      <c r="G33" s="65" t="s">
        <v>252</v>
      </c>
      <c r="H33" s="65" t="s">
        <v>254</v>
      </c>
      <c r="K33" s="23"/>
      <c r="L33" s="23"/>
      <c r="M33"/>
    </row>
    <row r="34" spans="4:13" x14ac:dyDescent="0.25">
      <c r="D34" s="22" t="s">
        <v>224</v>
      </c>
      <c r="E34" s="40">
        <f>SUM($Y$3:$Y$24)</f>
        <v>4.8000000000000007</v>
      </c>
      <c r="F34" s="40">
        <f>SUM($Z$3:$Z$24)</f>
        <v>0.9</v>
      </c>
      <c r="G34" s="40">
        <f>SUM($AA$3:$AA$24)</f>
        <v>18.799999999999997</v>
      </c>
      <c r="H34" s="40">
        <f>SUM($AB$3:$AB$24)</f>
        <v>8.3388778000000006</v>
      </c>
    </row>
    <row r="35" spans="4:13" x14ac:dyDescent="0.25">
      <c r="D35" s="22" t="s">
        <v>179</v>
      </c>
      <c r="E35" s="40">
        <f>COUNTIF(Y3:Y24,"&gt;0")</f>
        <v>14</v>
      </c>
      <c r="F35" s="40">
        <f>COUNTIF(Z3:Z24,"&gt;0")</f>
        <v>1</v>
      </c>
      <c r="G35" s="40">
        <f>COUNTIF(AA3:AA24,"&gt;0")</f>
        <v>22</v>
      </c>
      <c r="H35" s="40">
        <f>COUNTIF(AB3:AB24,"&gt;0")</f>
        <v>22</v>
      </c>
    </row>
    <row r="36" spans="4:13" x14ac:dyDescent="0.25">
      <c r="D36" s="22" t="s">
        <v>180</v>
      </c>
      <c r="E36" s="40">
        <f>COUNTIF(F28:F30,"&gt;1")</f>
        <v>3</v>
      </c>
      <c r="F36" s="40">
        <f t="shared" ref="F36:H36" si="13">COUNTIF(G28:G30,"&gt;1")</f>
        <v>0</v>
      </c>
      <c r="G36" s="40">
        <f t="shared" si="13"/>
        <v>3</v>
      </c>
      <c r="H36" s="40">
        <f t="shared" si="13"/>
        <v>3</v>
      </c>
    </row>
    <row r="37" spans="4:13" x14ac:dyDescent="0.25">
      <c r="D37" s="22" t="s">
        <v>181</v>
      </c>
      <c r="E37" s="40">
        <f>SUM($T$3:$T$23)</f>
        <v>2.25</v>
      </c>
      <c r="F37" s="40">
        <f t="shared" ref="F37:H37" si="14">SUM($T$3:$T$23)</f>
        <v>2.25</v>
      </c>
      <c r="G37" s="40">
        <f t="shared" si="14"/>
        <v>2.25</v>
      </c>
      <c r="H37" s="40">
        <f t="shared" si="14"/>
        <v>2.25</v>
      </c>
    </row>
    <row r="38" spans="4:13" x14ac:dyDescent="0.25">
      <c r="D38" s="22" t="s">
        <v>222</v>
      </c>
      <c r="E38" s="40">
        <f>SUM($T$3:$T$24)</f>
        <v>2.25</v>
      </c>
      <c r="F38" s="40">
        <f t="shared" ref="F38:H38" si="15">SUM($T$3:$T$24)</f>
        <v>2.25</v>
      </c>
      <c r="G38" s="40">
        <f t="shared" si="15"/>
        <v>2.25</v>
      </c>
      <c r="H38" s="40">
        <f t="shared" si="15"/>
        <v>2.25</v>
      </c>
    </row>
    <row r="39" spans="4:13" x14ac:dyDescent="0.25">
      <c r="D39" s="22" t="s">
        <v>182</v>
      </c>
      <c r="E39" s="40">
        <f>SUM($X$3:$X$24)</f>
        <v>10</v>
      </c>
      <c r="F39" s="40">
        <f t="shared" ref="F39:H39" si="16">SUM($X$3:$X$24)</f>
        <v>10</v>
      </c>
      <c r="G39" s="40">
        <f t="shared" si="16"/>
        <v>10</v>
      </c>
      <c r="H39" s="40">
        <f t="shared" si="16"/>
        <v>10</v>
      </c>
    </row>
  </sheetData>
  <autoFilter ref="E2:E23" xr:uid="{5A8BCD80-FEC0-4093-AC97-3584BD91C04E}"/>
  <sortState xmlns:xlrd2="http://schemas.microsoft.com/office/spreadsheetml/2017/richdata2" ref="A3:V17">
    <sortCondition ref="A3:A17"/>
  </sortState>
  <mergeCells count="7">
    <mergeCell ref="Y1:AA1"/>
    <mergeCell ref="N1:Q1"/>
    <mergeCell ref="K27:L27"/>
    <mergeCell ref="E26:F26"/>
    <mergeCell ref="M27:N27"/>
    <mergeCell ref="O27:P27"/>
    <mergeCell ref="K1:M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175"/>
  <sheetViews>
    <sheetView topLeftCell="A150" workbookViewId="0">
      <selection activeCell="U188" sqref="U188"/>
    </sheetView>
  </sheetViews>
  <sheetFormatPr defaultRowHeight="15" x14ac:dyDescent="0.25"/>
  <cols>
    <col min="1" max="1" width="25.85546875" bestFit="1" customWidth="1"/>
    <col min="2" max="2" width="12.7109375" bestFit="1" customWidth="1"/>
    <col min="3" max="3" width="6.42578125" bestFit="1" customWidth="1"/>
    <col min="4" max="4" width="11.85546875" bestFit="1" customWidth="1"/>
    <col min="5" max="5" width="12.7109375" bestFit="1" customWidth="1"/>
    <col min="6" max="7" width="4.85546875" bestFit="1" customWidth="1"/>
    <col min="8" max="8" width="1.85546875" bestFit="1" customWidth="1"/>
    <col min="9" max="9" width="6.42578125" bestFit="1" customWidth="1"/>
    <col min="10" max="10" width="2.85546875" style="12" customWidth="1"/>
    <col min="11" max="19" width="1.85546875" bestFit="1" customWidth="1"/>
    <col min="20" max="67" width="2.85546875" bestFit="1" customWidth="1"/>
  </cols>
  <sheetData>
    <row r="1" spans="1:10" x14ac:dyDescent="0.25">
      <c r="B1" t="s">
        <v>176</v>
      </c>
      <c r="I1" t="s">
        <v>167</v>
      </c>
      <c r="J1" s="22" t="s">
        <v>250</v>
      </c>
    </row>
    <row r="2" spans="1:10" x14ac:dyDescent="0.25">
      <c r="A2" t="s">
        <v>177</v>
      </c>
      <c r="B2" s="1">
        <v>2</v>
      </c>
      <c r="C2" s="1">
        <v>4</v>
      </c>
      <c r="D2" s="1">
        <v>6</v>
      </c>
      <c r="E2" s="1">
        <v>9</v>
      </c>
      <c r="F2" s="23">
        <v>10</v>
      </c>
      <c r="G2" s="1">
        <v>47</v>
      </c>
      <c r="I2" s="23">
        <v>2</v>
      </c>
      <c r="J2" s="22">
        <v>2</v>
      </c>
    </row>
    <row r="3" spans="1:10" x14ac:dyDescent="0.25">
      <c r="A3" s="1">
        <v>1</v>
      </c>
      <c r="B3" s="22">
        <v>0.5</v>
      </c>
      <c r="C3" s="22">
        <v>0.5</v>
      </c>
      <c r="D3" s="22">
        <v>0.5</v>
      </c>
      <c r="E3" s="22">
        <v>0.25</v>
      </c>
      <c r="F3" s="22">
        <v>0.25</v>
      </c>
      <c r="G3" s="22">
        <v>1</v>
      </c>
      <c r="I3" s="23">
        <v>4</v>
      </c>
      <c r="J3" s="22">
        <v>3</v>
      </c>
    </row>
    <row r="4" spans="1:10" x14ac:dyDescent="0.25">
      <c r="A4" s="1">
        <v>2</v>
      </c>
      <c r="B4" s="22">
        <v>0</v>
      </c>
      <c r="C4" s="22">
        <v>0.25</v>
      </c>
      <c r="D4" s="22">
        <v>0.5</v>
      </c>
      <c r="E4" s="22">
        <v>0.5</v>
      </c>
      <c r="F4" s="22">
        <v>0.5</v>
      </c>
      <c r="G4" s="22">
        <v>1</v>
      </c>
      <c r="I4" s="23">
        <v>6</v>
      </c>
      <c r="J4" s="22">
        <v>4</v>
      </c>
    </row>
    <row r="5" spans="1:10" x14ac:dyDescent="0.25">
      <c r="A5" s="1">
        <v>3</v>
      </c>
      <c r="B5" s="22">
        <v>0.25</v>
      </c>
      <c r="C5" s="22">
        <v>0.25</v>
      </c>
      <c r="D5" s="22">
        <v>0.5</v>
      </c>
      <c r="E5" s="22">
        <v>0.5</v>
      </c>
      <c r="F5" s="22">
        <v>0.5</v>
      </c>
      <c r="G5" s="22">
        <v>1</v>
      </c>
      <c r="I5" s="23">
        <v>9</v>
      </c>
      <c r="J5" s="22">
        <v>5</v>
      </c>
    </row>
    <row r="6" spans="1:10" x14ac:dyDescent="0.25">
      <c r="A6" s="1">
        <v>4</v>
      </c>
      <c r="B6" s="22">
        <v>0.25</v>
      </c>
      <c r="C6" s="22">
        <v>0</v>
      </c>
      <c r="D6" s="22">
        <v>0.5</v>
      </c>
      <c r="E6" s="22">
        <v>0.5</v>
      </c>
      <c r="F6" s="22">
        <v>0.5</v>
      </c>
      <c r="G6" s="22">
        <v>1</v>
      </c>
      <c r="I6" s="23">
        <v>10</v>
      </c>
      <c r="J6" s="22">
        <v>6</v>
      </c>
    </row>
    <row r="7" spans="1:10" x14ac:dyDescent="0.25">
      <c r="A7" s="1">
        <v>5</v>
      </c>
      <c r="B7" s="22">
        <v>0.5</v>
      </c>
      <c r="C7" s="22">
        <v>0.5</v>
      </c>
      <c r="D7" s="22">
        <v>0.5</v>
      </c>
      <c r="E7" s="22">
        <v>0.25</v>
      </c>
      <c r="F7" s="22">
        <v>0.25</v>
      </c>
      <c r="G7" s="22">
        <v>1</v>
      </c>
      <c r="H7" s="23"/>
      <c r="I7" s="42">
        <v>47</v>
      </c>
      <c r="J7">
        <v>7</v>
      </c>
    </row>
    <row r="8" spans="1:10" x14ac:dyDescent="0.25">
      <c r="A8" s="1">
        <v>6</v>
      </c>
      <c r="B8" s="22">
        <v>0.5</v>
      </c>
      <c r="C8" s="22">
        <v>0.5</v>
      </c>
      <c r="D8" s="22">
        <v>0</v>
      </c>
      <c r="E8" s="22">
        <v>0.5</v>
      </c>
      <c r="F8" s="22">
        <v>0.5</v>
      </c>
      <c r="G8" s="22">
        <v>0.75</v>
      </c>
      <c r="H8" s="23"/>
      <c r="I8" s="22"/>
      <c r="J8" s="22"/>
    </row>
    <row r="9" spans="1:10" x14ac:dyDescent="0.25">
      <c r="A9" s="1">
        <v>7</v>
      </c>
      <c r="B9" s="22">
        <v>0.5</v>
      </c>
      <c r="C9" s="22">
        <v>0.5</v>
      </c>
      <c r="D9" s="22">
        <v>0.5</v>
      </c>
      <c r="E9" s="22">
        <v>0.25</v>
      </c>
      <c r="F9" s="22">
        <v>0.25</v>
      </c>
      <c r="G9" s="22">
        <v>1</v>
      </c>
      <c r="H9" s="23"/>
      <c r="I9" s="22"/>
      <c r="J9" s="22"/>
    </row>
    <row r="10" spans="1:10" x14ac:dyDescent="0.25">
      <c r="A10" s="1">
        <v>11</v>
      </c>
      <c r="B10" s="22">
        <v>0.25</v>
      </c>
      <c r="C10" s="22">
        <v>0.25</v>
      </c>
      <c r="D10" s="22">
        <v>0.5</v>
      </c>
      <c r="E10" s="22">
        <v>0.5</v>
      </c>
      <c r="F10" s="22">
        <v>0.5</v>
      </c>
      <c r="G10" s="22">
        <v>1</v>
      </c>
      <c r="H10" s="23"/>
      <c r="I10" s="22"/>
      <c r="J10" s="22"/>
    </row>
    <row r="11" spans="1:10" x14ac:dyDescent="0.25">
      <c r="A11" s="1">
        <v>12</v>
      </c>
      <c r="B11" s="22">
        <v>0.25</v>
      </c>
      <c r="C11" s="22">
        <v>0.25</v>
      </c>
      <c r="D11" s="22">
        <v>0.5</v>
      </c>
      <c r="E11" s="22">
        <v>0.5</v>
      </c>
      <c r="F11" s="22">
        <v>0.5</v>
      </c>
      <c r="G11" s="22">
        <v>1</v>
      </c>
      <c r="H11" s="23"/>
      <c r="I11" s="22"/>
      <c r="J11" s="22"/>
    </row>
    <row r="12" spans="1:10" x14ac:dyDescent="0.25">
      <c r="A12" s="1">
        <v>13</v>
      </c>
      <c r="B12" s="22">
        <v>0.25</v>
      </c>
      <c r="C12" s="22">
        <v>0.25</v>
      </c>
      <c r="D12" s="22">
        <v>0.5</v>
      </c>
      <c r="E12" s="22">
        <v>0.5</v>
      </c>
      <c r="F12" s="22">
        <v>0.5</v>
      </c>
      <c r="G12" s="22">
        <v>1</v>
      </c>
      <c r="J12" s="22"/>
    </row>
    <row r="13" spans="1:10" x14ac:dyDescent="0.25">
      <c r="A13" s="1">
        <v>14</v>
      </c>
      <c r="B13" s="22">
        <v>0.25</v>
      </c>
      <c r="C13" s="22">
        <v>0.25</v>
      </c>
      <c r="D13" s="22">
        <v>0.5</v>
      </c>
      <c r="E13" s="22">
        <v>0.5</v>
      </c>
      <c r="F13" s="22">
        <v>0.5</v>
      </c>
      <c r="G13" s="22">
        <v>1</v>
      </c>
      <c r="J13" s="22"/>
    </row>
    <row r="14" spans="1:10" x14ac:dyDescent="0.25">
      <c r="A14" s="1">
        <v>8</v>
      </c>
      <c r="B14" s="22">
        <v>0.5</v>
      </c>
      <c r="C14" s="22">
        <v>0.5</v>
      </c>
      <c r="D14" s="22">
        <v>0.5</v>
      </c>
      <c r="E14" s="22">
        <v>0.25</v>
      </c>
      <c r="F14" s="22">
        <v>0.25</v>
      </c>
      <c r="G14" s="22">
        <v>1</v>
      </c>
      <c r="J14" s="22"/>
    </row>
    <row r="15" spans="1:10" x14ac:dyDescent="0.25">
      <c r="A15" s="1">
        <v>9</v>
      </c>
      <c r="B15" s="22">
        <v>0.5</v>
      </c>
      <c r="C15" s="22">
        <v>0.5</v>
      </c>
      <c r="D15" s="22">
        <v>0.5</v>
      </c>
      <c r="E15" s="22">
        <v>0</v>
      </c>
      <c r="F15" s="22">
        <v>0.25</v>
      </c>
      <c r="G15" s="22">
        <v>1</v>
      </c>
      <c r="J15" s="22"/>
    </row>
    <row r="16" spans="1:10" x14ac:dyDescent="0.25">
      <c r="A16" s="1">
        <v>15</v>
      </c>
      <c r="B16" s="22">
        <v>0.25</v>
      </c>
      <c r="C16" s="22">
        <v>0.25</v>
      </c>
      <c r="D16" s="22">
        <v>0.5</v>
      </c>
      <c r="E16" s="22">
        <v>0.5</v>
      </c>
      <c r="F16" s="22">
        <v>0.5</v>
      </c>
      <c r="G16" s="22">
        <v>1</v>
      </c>
      <c r="J16" s="22"/>
    </row>
    <row r="17" spans="1:67" x14ac:dyDescent="0.25">
      <c r="A17" s="1">
        <v>10</v>
      </c>
      <c r="B17" s="22">
        <v>0.5</v>
      </c>
      <c r="C17" s="22">
        <v>0.5</v>
      </c>
      <c r="D17" s="22">
        <v>0.5</v>
      </c>
      <c r="E17" s="22">
        <v>0.25</v>
      </c>
      <c r="F17" s="22">
        <v>0</v>
      </c>
      <c r="G17" s="22">
        <v>1</v>
      </c>
      <c r="J17" s="22"/>
    </row>
    <row r="18" spans="1:67" x14ac:dyDescent="0.25">
      <c r="A18" s="23">
        <v>20</v>
      </c>
      <c r="B18" s="22">
        <v>0.5</v>
      </c>
      <c r="C18" s="22">
        <v>0.5</v>
      </c>
      <c r="D18" s="22">
        <v>0.5</v>
      </c>
      <c r="E18" s="22">
        <v>0.25</v>
      </c>
      <c r="F18" s="22">
        <v>0.25</v>
      </c>
      <c r="G18" s="22">
        <v>1</v>
      </c>
      <c r="J18" s="22"/>
    </row>
    <row r="19" spans="1:67" x14ac:dyDescent="0.25">
      <c r="A19" s="23">
        <v>28</v>
      </c>
      <c r="B19" s="22">
        <v>0.5</v>
      </c>
      <c r="C19" s="22">
        <v>0.5</v>
      </c>
      <c r="D19" s="22">
        <v>0.25</v>
      </c>
      <c r="E19" s="22">
        <v>0.5</v>
      </c>
      <c r="F19" s="22">
        <v>0.5</v>
      </c>
      <c r="G19" s="22">
        <v>0.75</v>
      </c>
      <c r="J19" s="22"/>
    </row>
    <row r="20" spans="1:67" x14ac:dyDescent="0.25">
      <c r="A20" s="23">
        <v>38</v>
      </c>
      <c r="B20" s="22">
        <v>0.25</v>
      </c>
      <c r="C20" s="22">
        <v>0.25</v>
      </c>
      <c r="D20" s="22">
        <v>0.5</v>
      </c>
      <c r="E20" s="22">
        <v>0.5</v>
      </c>
      <c r="F20" s="22">
        <v>0.5</v>
      </c>
      <c r="G20" s="22">
        <v>1</v>
      </c>
      <c r="J20" s="22"/>
    </row>
    <row r="21" spans="1:67" x14ac:dyDescent="0.25">
      <c r="A21" s="23">
        <v>39</v>
      </c>
      <c r="B21" s="22">
        <v>0.5</v>
      </c>
      <c r="C21" s="22">
        <v>0.5</v>
      </c>
      <c r="D21" s="22">
        <v>0.5</v>
      </c>
      <c r="E21" s="22">
        <v>0.25</v>
      </c>
      <c r="F21" s="22">
        <v>0.25</v>
      </c>
      <c r="G21" s="22">
        <v>1</v>
      </c>
      <c r="J21" s="22"/>
    </row>
    <row r="22" spans="1:67" x14ac:dyDescent="0.25">
      <c r="A22" s="23">
        <v>45</v>
      </c>
      <c r="B22" s="22">
        <v>0.5</v>
      </c>
      <c r="C22" s="22">
        <v>0.5</v>
      </c>
      <c r="D22" s="22">
        <v>0.25</v>
      </c>
      <c r="E22" s="22">
        <v>0.5</v>
      </c>
      <c r="F22" s="22">
        <v>0.5</v>
      </c>
      <c r="G22" s="22">
        <v>0.75</v>
      </c>
      <c r="J22" s="22"/>
    </row>
    <row r="23" spans="1:67" x14ac:dyDescent="0.25">
      <c r="A23" s="23">
        <v>46</v>
      </c>
      <c r="B23" s="22">
        <v>0.25</v>
      </c>
      <c r="C23" s="22">
        <v>0.25</v>
      </c>
      <c r="D23" s="22">
        <v>0.5</v>
      </c>
      <c r="E23" s="22">
        <v>0.5</v>
      </c>
      <c r="F23" s="22">
        <v>0.5</v>
      </c>
      <c r="G23" s="22">
        <v>1</v>
      </c>
      <c r="J23" s="22"/>
    </row>
    <row r="24" spans="1:67" x14ac:dyDescent="0.25">
      <c r="A24" s="23">
        <v>47</v>
      </c>
      <c r="B24" s="22">
        <v>0.5</v>
      </c>
      <c r="C24" s="22">
        <v>0.5</v>
      </c>
      <c r="D24" s="22">
        <v>0.5</v>
      </c>
      <c r="E24" s="22">
        <v>0.25</v>
      </c>
      <c r="F24" s="22">
        <v>0.25</v>
      </c>
      <c r="G24" s="22">
        <v>1</v>
      </c>
      <c r="J24" s="22"/>
    </row>
    <row r="25" spans="1:67" x14ac:dyDescent="0.25">
      <c r="A25" s="23">
        <v>48</v>
      </c>
      <c r="B25" s="22">
        <v>0.5</v>
      </c>
      <c r="C25" s="22">
        <v>0.5</v>
      </c>
      <c r="D25" s="22">
        <v>0.5</v>
      </c>
      <c r="E25" s="22">
        <v>0.5</v>
      </c>
      <c r="F25" s="22">
        <v>0.5</v>
      </c>
      <c r="G25" s="22">
        <v>1</v>
      </c>
      <c r="J25" s="22"/>
    </row>
    <row r="26" spans="1:67" x14ac:dyDescent="0.25">
      <c r="A26" s="23">
        <v>49</v>
      </c>
      <c r="B26" s="22">
        <v>0.5</v>
      </c>
      <c r="C26" s="22">
        <v>0.5</v>
      </c>
      <c r="D26" s="22">
        <v>0.5</v>
      </c>
      <c r="E26" s="22">
        <v>0.25</v>
      </c>
      <c r="F26" s="22">
        <v>0.25</v>
      </c>
      <c r="G26" s="22">
        <v>1</v>
      </c>
      <c r="J26" s="22"/>
    </row>
    <row r="27" spans="1:67" x14ac:dyDescent="0.25">
      <c r="A27" s="23">
        <v>50</v>
      </c>
      <c r="B27" s="22">
        <v>0.5</v>
      </c>
      <c r="C27" s="22">
        <v>0.5</v>
      </c>
      <c r="D27" s="22">
        <v>0.5</v>
      </c>
      <c r="E27" s="22">
        <v>0.25</v>
      </c>
      <c r="F27" s="22">
        <v>0.25</v>
      </c>
      <c r="G27" s="22">
        <v>1</v>
      </c>
      <c r="J27" s="22"/>
    </row>
    <row r="28" spans="1:67" x14ac:dyDescent="0.25">
      <c r="A28" s="23">
        <v>51</v>
      </c>
      <c r="B28" s="22">
        <v>0.25</v>
      </c>
      <c r="C28" s="22">
        <v>0.25</v>
      </c>
      <c r="D28" s="22">
        <v>0.5</v>
      </c>
      <c r="E28" s="22">
        <v>0.5</v>
      </c>
      <c r="F28" s="22">
        <v>0.5</v>
      </c>
      <c r="G28" s="22">
        <v>1</v>
      </c>
      <c r="J28" s="22"/>
    </row>
    <row r="29" spans="1:67" x14ac:dyDescent="0.25">
      <c r="A29" s="23">
        <v>52</v>
      </c>
      <c r="B29" s="22">
        <v>0.25</v>
      </c>
      <c r="C29" s="22">
        <v>0.25</v>
      </c>
      <c r="D29" s="22">
        <v>0.5</v>
      </c>
      <c r="E29" s="22">
        <v>0.5</v>
      </c>
      <c r="F29" s="22">
        <v>0.5</v>
      </c>
      <c r="G29" s="22">
        <v>1</v>
      </c>
      <c r="J29" s="22"/>
    </row>
    <row r="30" spans="1:67" s="22" customFormat="1" x14ac:dyDescent="0.25">
      <c r="A30" s="23"/>
    </row>
    <row r="31" spans="1:67" x14ac:dyDescent="0.25">
      <c r="E31" s="71" t="s">
        <v>167</v>
      </c>
      <c r="F31" s="71"/>
      <c r="G31" s="71"/>
      <c r="H31" s="71"/>
      <c r="I31" s="71"/>
      <c r="J31" s="28"/>
      <c r="K31" s="71" t="s">
        <v>168</v>
      </c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</row>
    <row r="32" spans="1:67" s="13" customFormat="1" x14ac:dyDescent="0.25">
      <c r="A32" s="13" t="s">
        <v>188</v>
      </c>
      <c r="B32" s="7" t="s">
        <v>168</v>
      </c>
      <c r="C32" s="17" t="s">
        <v>167</v>
      </c>
      <c r="D32" s="15" t="s">
        <v>187</v>
      </c>
      <c r="E32" s="13">
        <v>2</v>
      </c>
      <c r="F32" s="13">
        <v>4</v>
      </c>
      <c r="G32" s="13">
        <v>6</v>
      </c>
      <c r="H32" s="13">
        <v>9</v>
      </c>
      <c r="I32" s="13">
        <v>10</v>
      </c>
      <c r="J32" s="10">
        <v>47</v>
      </c>
      <c r="K32" s="8">
        <v>1</v>
      </c>
      <c r="L32" s="8">
        <v>2</v>
      </c>
      <c r="M32" s="8">
        <v>3</v>
      </c>
      <c r="N32" s="8">
        <v>4</v>
      </c>
      <c r="O32" s="8">
        <v>5</v>
      </c>
      <c r="P32" s="8">
        <v>6</v>
      </c>
      <c r="Q32" s="8">
        <v>7</v>
      </c>
      <c r="R32" s="8">
        <v>8</v>
      </c>
      <c r="S32" s="8">
        <v>9</v>
      </c>
      <c r="T32" s="8">
        <v>10</v>
      </c>
      <c r="U32" s="8">
        <v>11</v>
      </c>
      <c r="V32" s="8">
        <v>12</v>
      </c>
      <c r="W32" s="8">
        <v>13</v>
      </c>
      <c r="X32" s="8">
        <v>14</v>
      </c>
      <c r="Y32" s="8">
        <v>15</v>
      </c>
      <c r="Z32" s="8">
        <v>20</v>
      </c>
      <c r="AA32" s="8">
        <v>28</v>
      </c>
      <c r="AB32" s="8">
        <v>38</v>
      </c>
      <c r="AC32" s="8">
        <v>39</v>
      </c>
      <c r="AD32" s="8">
        <v>45</v>
      </c>
      <c r="AE32" s="8">
        <v>46</v>
      </c>
    </row>
    <row r="33" spans="1:36" x14ac:dyDescent="0.25">
      <c r="A33" s="30">
        <f t="shared" ref="A33:A44" si="0">IF(D33=1,B33&amp;D33&amp;"*",0)</f>
        <v>0</v>
      </c>
      <c r="B33" s="31">
        <v>1</v>
      </c>
      <c r="C33" s="32">
        <v>2</v>
      </c>
      <c r="D33" s="18">
        <v>0</v>
      </c>
      <c r="E33" s="31">
        <v>1</v>
      </c>
      <c r="F33" s="31">
        <v>0</v>
      </c>
      <c r="G33" s="31">
        <v>0</v>
      </c>
      <c r="H33" s="31">
        <v>0</v>
      </c>
      <c r="I33" s="31">
        <v>0</v>
      </c>
      <c r="J33" s="12">
        <v>0</v>
      </c>
      <c r="K33" s="33">
        <v>1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4">
        <v>0</v>
      </c>
    </row>
    <row r="34" spans="1:36" x14ac:dyDescent="0.25">
      <c r="A34" s="35">
        <f t="shared" si="0"/>
        <v>0</v>
      </c>
      <c r="B34" s="6">
        <v>2</v>
      </c>
      <c r="C34" s="12">
        <v>2</v>
      </c>
      <c r="D34" s="18">
        <v>0</v>
      </c>
      <c r="E34" s="6">
        <v>1</v>
      </c>
      <c r="F34" s="6">
        <v>0</v>
      </c>
      <c r="G34" s="6">
        <v>0</v>
      </c>
      <c r="H34" s="6">
        <v>0</v>
      </c>
      <c r="I34" s="6">
        <v>0</v>
      </c>
      <c r="J34" s="12">
        <v>0</v>
      </c>
      <c r="K34" s="9">
        <v>0</v>
      </c>
      <c r="L34" s="9">
        <v>1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36">
        <v>0</v>
      </c>
      <c r="AI34" s="6"/>
      <c r="AJ34" s="12"/>
    </row>
    <row r="35" spans="1:36" x14ac:dyDescent="0.25">
      <c r="A35" s="35">
        <f t="shared" si="0"/>
        <v>0</v>
      </c>
      <c r="B35" s="6">
        <v>3</v>
      </c>
      <c r="C35" s="12">
        <v>2</v>
      </c>
      <c r="D35" s="18">
        <v>0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12">
        <v>0</v>
      </c>
      <c r="K35" s="9">
        <v>0</v>
      </c>
      <c r="L35" s="9">
        <v>0</v>
      </c>
      <c r="M35" s="9">
        <v>1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36">
        <v>0</v>
      </c>
    </row>
    <row r="36" spans="1:36" x14ac:dyDescent="0.25">
      <c r="A36" s="35">
        <f t="shared" si="0"/>
        <v>0</v>
      </c>
      <c r="B36" s="6">
        <v>4</v>
      </c>
      <c r="C36" s="12">
        <v>2</v>
      </c>
      <c r="D36" s="18">
        <v>0</v>
      </c>
      <c r="E36" s="6">
        <v>1</v>
      </c>
      <c r="F36" s="6">
        <v>0</v>
      </c>
      <c r="G36" s="6">
        <v>0</v>
      </c>
      <c r="H36" s="6">
        <v>0</v>
      </c>
      <c r="I36" s="6">
        <v>0</v>
      </c>
      <c r="J36" s="12">
        <v>0</v>
      </c>
      <c r="K36" s="9">
        <v>0</v>
      </c>
      <c r="L36" s="9">
        <v>0</v>
      </c>
      <c r="M36" s="9">
        <v>0</v>
      </c>
      <c r="N36" s="9">
        <v>1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36">
        <v>0</v>
      </c>
    </row>
    <row r="37" spans="1:36" x14ac:dyDescent="0.25">
      <c r="A37" s="35">
        <f t="shared" si="0"/>
        <v>0</v>
      </c>
      <c r="B37" s="6">
        <v>5</v>
      </c>
      <c r="C37" s="12">
        <v>2</v>
      </c>
      <c r="D37" s="18">
        <v>0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12">
        <v>0</v>
      </c>
      <c r="K37" s="9">
        <v>0</v>
      </c>
      <c r="L37" s="9">
        <v>0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36">
        <v>0</v>
      </c>
    </row>
    <row r="38" spans="1:36" x14ac:dyDescent="0.25">
      <c r="A38" s="35">
        <f t="shared" si="0"/>
        <v>0</v>
      </c>
      <c r="B38" s="6">
        <v>6</v>
      </c>
      <c r="C38" s="12">
        <v>2</v>
      </c>
      <c r="D38" s="18">
        <v>0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12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1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36">
        <v>0</v>
      </c>
    </row>
    <row r="39" spans="1:36" x14ac:dyDescent="0.25">
      <c r="A39" s="35">
        <f t="shared" si="0"/>
        <v>0</v>
      </c>
      <c r="B39" s="6">
        <v>7</v>
      </c>
      <c r="C39" s="12">
        <v>2</v>
      </c>
      <c r="D39" s="18">
        <v>0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12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1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36">
        <v>0</v>
      </c>
    </row>
    <row r="40" spans="1:36" x14ac:dyDescent="0.25">
      <c r="A40" s="35">
        <f t="shared" si="0"/>
        <v>0</v>
      </c>
      <c r="B40" s="6">
        <v>8</v>
      </c>
      <c r="C40" s="12">
        <v>2</v>
      </c>
      <c r="D40" s="18">
        <v>0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12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1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36">
        <v>0</v>
      </c>
    </row>
    <row r="41" spans="1:36" x14ac:dyDescent="0.25">
      <c r="A41" s="35">
        <f t="shared" si="0"/>
        <v>0</v>
      </c>
      <c r="B41" s="6">
        <v>9</v>
      </c>
      <c r="C41" s="12">
        <v>2</v>
      </c>
      <c r="D41" s="18">
        <v>0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12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1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36">
        <v>0</v>
      </c>
    </row>
    <row r="42" spans="1:36" x14ac:dyDescent="0.25">
      <c r="A42" s="35">
        <f t="shared" si="0"/>
        <v>0</v>
      </c>
      <c r="B42" s="6">
        <v>10</v>
      </c>
      <c r="C42" s="12">
        <v>2</v>
      </c>
      <c r="D42" s="18">
        <v>0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12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1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36">
        <v>0</v>
      </c>
    </row>
    <row r="43" spans="1:36" x14ac:dyDescent="0.25">
      <c r="A43" s="35">
        <f t="shared" si="0"/>
        <v>0</v>
      </c>
      <c r="B43" s="6">
        <v>11</v>
      </c>
      <c r="C43" s="12">
        <v>2</v>
      </c>
      <c r="D43" s="18">
        <v>0</v>
      </c>
      <c r="E43" s="6">
        <v>1</v>
      </c>
      <c r="F43" s="6">
        <v>0</v>
      </c>
      <c r="G43" s="6">
        <v>0</v>
      </c>
      <c r="H43" s="6">
        <v>0</v>
      </c>
      <c r="I43" s="6">
        <v>0</v>
      </c>
      <c r="J43" s="12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1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36">
        <v>0</v>
      </c>
    </row>
    <row r="44" spans="1:36" x14ac:dyDescent="0.25">
      <c r="A44" s="35">
        <f t="shared" si="0"/>
        <v>0</v>
      </c>
      <c r="B44" s="6">
        <v>12</v>
      </c>
      <c r="C44" s="12">
        <v>2</v>
      </c>
      <c r="D44" s="18">
        <v>0</v>
      </c>
      <c r="E44" s="6">
        <v>1</v>
      </c>
      <c r="F44" s="6">
        <v>0</v>
      </c>
      <c r="G44" s="6">
        <v>0</v>
      </c>
      <c r="H44" s="6">
        <v>0</v>
      </c>
      <c r="I44" s="6">
        <v>0</v>
      </c>
      <c r="J44" s="12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1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36">
        <v>0</v>
      </c>
    </row>
    <row r="45" spans="1:36" x14ac:dyDescent="0.25">
      <c r="A45" s="35">
        <f t="shared" ref="A45:A53" si="1">IF(D45=1,B45&amp;D45&amp;"*",0)</f>
        <v>0</v>
      </c>
      <c r="B45" s="6">
        <v>13</v>
      </c>
      <c r="C45" s="12">
        <v>2</v>
      </c>
      <c r="D45" s="18">
        <v>0</v>
      </c>
      <c r="E45" s="6">
        <v>1</v>
      </c>
      <c r="F45" s="6">
        <v>0</v>
      </c>
      <c r="G45" s="6">
        <v>0</v>
      </c>
      <c r="H45" s="6">
        <v>0</v>
      </c>
      <c r="I45" s="6">
        <v>0</v>
      </c>
      <c r="J45" s="12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1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36">
        <v>0</v>
      </c>
    </row>
    <row r="46" spans="1:36" x14ac:dyDescent="0.25">
      <c r="A46" s="35">
        <f t="shared" si="1"/>
        <v>0</v>
      </c>
      <c r="B46" s="6">
        <v>14</v>
      </c>
      <c r="C46" s="12">
        <v>2</v>
      </c>
      <c r="D46" s="18">
        <v>0</v>
      </c>
      <c r="E46" s="6">
        <v>1</v>
      </c>
      <c r="F46" s="6">
        <v>0</v>
      </c>
      <c r="G46" s="6">
        <v>0</v>
      </c>
      <c r="H46" s="6">
        <v>0</v>
      </c>
      <c r="I46" s="6">
        <v>0</v>
      </c>
      <c r="J46" s="12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1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36">
        <v>0</v>
      </c>
    </row>
    <row r="47" spans="1:36" x14ac:dyDescent="0.25">
      <c r="A47" s="35">
        <f t="shared" si="1"/>
        <v>0</v>
      </c>
      <c r="B47" s="6">
        <v>15</v>
      </c>
      <c r="C47" s="12">
        <v>2</v>
      </c>
      <c r="D47" s="18">
        <v>0</v>
      </c>
      <c r="E47" s="6">
        <v>1</v>
      </c>
      <c r="F47" s="6">
        <v>0</v>
      </c>
      <c r="G47" s="6">
        <v>0</v>
      </c>
      <c r="H47" s="6">
        <v>0</v>
      </c>
      <c r="I47" s="6">
        <v>0</v>
      </c>
      <c r="J47" s="12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1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36">
        <v>0</v>
      </c>
    </row>
    <row r="48" spans="1:36" x14ac:dyDescent="0.25">
      <c r="A48" s="35">
        <f t="shared" si="1"/>
        <v>0</v>
      </c>
      <c r="B48" s="6">
        <v>20</v>
      </c>
      <c r="C48" s="12">
        <v>2</v>
      </c>
      <c r="D48" s="18">
        <v>0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12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1</v>
      </c>
      <c r="AA48" s="9">
        <v>0</v>
      </c>
      <c r="AB48" s="9">
        <v>0</v>
      </c>
      <c r="AC48" s="9">
        <v>0</v>
      </c>
      <c r="AD48" s="9">
        <v>0</v>
      </c>
      <c r="AE48" s="36">
        <v>0</v>
      </c>
    </row>
    <row r="49" spans="1:31" x14ac:dyDescent="0.25">
      <c r="A49" s="35">
        <f t="shared" si="1"/>
        <v>0</v>
      </c>
      <c r="B49" s="6">
        <v>28</v>
      </c>
      <c r="C49" s="12">
        <v>2</v>
      </c>
      <c r="D49" s="18">
        <v>0</v>
      </c>
      <c r="E49" s="6">
        <v>1</v>
      </c>
      <c r="F49" s="6">
        <v>0</v>
      </c>
      <c r="G49" s="6">
        <v>0</v>
      </c>
      <c r="H49" s="6">
        <v>0</v>
      </c>
      <c r="I49" s="6">
        <v>0</v>
      </c>
      <c r="J49" s="12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1</v>
      </c>
      <c r="AB49" s="9">
        <v>0</v>
      </c>
      <c r="AC49" s="9">
        <v>0</v>
      </c>
      <c r="AD49" s="9">
        <v>0</v>
      </c>
      <c r="AE49" s="36">
        <v>0</v>
      </c>
    </row>
    <row r="50" spans="1:31" x14ac:dyDescent="0.25">
      <c r="A50" s="35" t="str">
        <f t="shared" si="1"/>
        <v>381*</v>
      </c>
      <c r="B50" s="6">
        <v>38</v>
      </c>
      <c r="C50" s="12">
        <v>2</v>
      </c>
      <c r="D50" s="18">
        <v>1</v>
      </c>
      <c r="E50" s="6">
        <v>1</v>
      </c>
      <c r="F50" s="6">
        <v>0</v>
      </c>
      <c r="G50" s="6">
        <v>0</v>
      </c>
      <c r="H50" s="6">
        <v>0</v>
      </c>
      <c r="I50" s="6">
        <v>0</v>
      </c>
      <c r="J50" s="12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1</v>
      </c>
      <c r="AC50" s="9">
        <v>0</v>
      </c>
      <c r="AD50" s="9">
        <v>0</v>
      </c>
      <c r="AE50" s="36">
        <v>0</v>
      </c>
    </row>
    <row r="51" spans="1:31" x14ac:dyDescent="0.25">
      <c r="A51" s="35">
        <f t="shared" si="1"/>
        <v>0</v>
      </c>
      <c r="B51" s="6">
        <v>39</v>
      </c>
      <c r="C51" s="12">
        <v>2</v>
      </c>
      <c r="D51" s="18">
        <v>0</v>
      </c>
      <c r="E51" s="6">
        <v>1</v>
      </c>
      <c r="F51" s="6">
        <v>0</v>
      </c>
      <c r="G51" s="6">
        <v>0</v>
      </c>
      <c r="H51" s="6">
        <v>0</v>
      </c>
      <c r="I51" s="6">
        <v>0</v>
      </c>
      <c r="J51" s="12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1</v>
      </c>
      <c r="AD51" s="9">
        <v>0</v>
      </c>
      <c r="AE51" s="36">
        <v>0</v>
      </c>
    </row>
    <row r="52" spans="1:31" x14ac:dyDescent="0.25">
      <c r="A52" s="35">
        <f t="shared" si="1"/>
        <v>0</v>
      </c>
      <c r="B52" s="6">
        <v>45</v>
      </c>
      <c r="C52" s="12">
        <v>2</v>
      </c>
      <c r="D52" s="18">
        <v>0</v>
      </c>
      <c r="E52" s="6">
        <v>1</v>
      </c>
      <c r="F52" s="6">
        <v>0</v>
      </c>
      <c r="G52" s="6">
        <v>0</v>
      </c>
      <c r="H52" s="6">
        <v>0</v>
      </c>
      <c r="I52" s="6">
        <v>0</v>
      </c>
      <c r="J52" s="12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1</v>
      </c>
      <c r="AE52" s="36">
        <v>0</v>
      </c>
    </row>
    <row r="53" spans="1:31" x14ac:dyDescent="0.25">
      <c r="A53" s="37" t="str">
        <f t="shared" si="1"/>
        <v>461*</v>
      </c>
      <c r="B53" s="13">
        <v>46</v>
      </c>
      <c r="C53" s="10">
        <v>2</v>
      </c>
      <c r="D53" s="18">
        <v>1</v>
      </c>
      <c r="E53" s="13">
        <v>1</v>
      </c>
      <c r="F53" s="13">
        <v>0</v>
      </c>
      <c r="G53" s="13">
        <v>0</v>
      </c>
      <c r="H53" s="13">
        <v>0</v>
      </c>
      <c r="I53" s="13">
        <v>0</v>
      </c>
      <c r="J53" s="12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38">
        <v>1</v>
      </c>
    </row>
    <row r="54" spans="1:31" x14ac:dyDescent="0.25">
      <c r="A54" s="30">
        <f t="shared" ref="A54:A70" si="2">IF(D54=1,B54&amp;D54&amp;"*",0)</f>
        <v>0</v>
      </c>
      <c r="B54" s="31">
        <v>1</v>
      </c>
      <c r="C54" s="32">
        <v>4</v>
      </c>
      <c r="D54" s="18">
        <v>0</v>
      </c>
      <c r="E54" s="31">
        <v>0</v>
      </c>
      <c r="F54" s="31">
        <v>1</v>
      </c>
      <c r="G54" s="31">
        <v>0</v>
      </c>
      <c r="H54" s="31">
        <v>0</v>
      </c>
      <c r="I54" s="31">
        <v>0</v>
      </c>
      <c r="J54" s="12">
        <v>0</v>
      </c>
      <c r="K54" s="33">
        <v>1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33">
        <v>0</v>
      </c>
      <c r="AA54" s="33">
        <v>0</v>
      </c>
      <c r="AB54" s="33">
        <v>0</v>
      </c>
      <c r="AC54" s="33">
        <v>0</v>
      </c>
      <c r="AD54" s="33">
        <v>0</v>
      </c>
      <c r="AE54" s="34">
        <v>0</v>
      </c>
    </row>
    <row r="55" spans="1:31" x14ac:dyDescent="0.25">
      <c r="A55" s="35">
        <f t="shared" si="2"/>
        <v>0</v>
      </c>
      <c r="B55" s="6">
        <v>2</v>
      </c>
      <c r="C55" s="12">
        <v>4</v>
      </c>
      <c r="D55" s="18">
        <v>0</v>
      </c>
      <c r="E55" s="6">
        <v>0</v>
      </c>
      <c r="F55" s="6">
        <v>1</v>
      </c>
      <c r="G55" s="6">
        <v>0</v>
      </c>
      <c r="H55" s="6">
        <v>0</v>
      </c>
      <c r="I55" s="6">
        <v>0</v>
      </c>
      <c r="J55" s="12">
        <v>0</v>
      </c>
      <c r="K55" s="9">
        <v>0</v>
      </c>
      <c r="L55" s="9">
        <v>1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36">
        <v>0</v>
      </c>
    </row>
    <row r="56" spans="1:31" x14ac:dyDescent="0.25">
      <c r="A56" s="35">
        <f t="shared" si="2"/>
        <v>0</v>
      </c>
      <c r="B56" s="6">
        <v>3</v>
      </c>
      <c r="C56" s="12">
        <v>4</v>
      </c>
      <c r="D56" s="18">
        <v>0</v>
      </c>
      <c r="E56" s="6">
        <v>0</v>
      </c>
      <c r="F56" s="6">
        <v>1</v>
      </c>
      <c r="G56" s="6">
        <v>0</v>
      </c>
      <c r="H56" s="6">
        <v>0</v>
      </c>
      <c r="I56" s="6">
        <v>0</v>
      </c>
      <c r="J56" s="12">
        <v>0</v>
      </c>
      <c r="K56" s="9">
        <v>0</v>
      </c>
      <c r="L56" s="9">
        <v>0</v>
      </c>
      <c r="M56" s="9">
        <v>1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36">
        <v>0</v>
      </c>
    </row>
    <row r="57" spans="1:31" x14ac:dyDescent="0.25">
      <c r="A57" s="35">
        <f t="shared" si="2"/>
        <v>0</v>
      </c>
      <c r="B57" s="6">
        <v>4</v>
      </c>
      <c r="C57" s="12">
        <v>4</v>
      </c>
      <c r="D57" s="18">
        <v>0</v>
      </c>
      <c r="E57" s="6">
        <v>0</v>
      </c>
      <c r="F57" s="6">
        <v>1</v>
      </c>
      <c r="G57" s="6">
        <v>0</v>
      </c>
      <c r="H57" s="6">
        <v>0</v>
      </c>
      <c r="I57" s="6">
        <v>0</v>
      </c>
      <c r="J57" s="12">
        <v>0</v>
      </c>
      <c r="K57" s="9">
        <v>0</v>
      </c>
      <c r="L57" s="9">
        <v>0</v>
      </c>
      <c r="M57" s="9">
        <v>0</v>
      </c>
      <c r="N57" s="9">
        <v>1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36">
        <v>0</v>
      </c>
    </row>
    <row r="58" spans="1:31" x14ac:dyDescent="0.25">
      <c r="A58" s="35">
        <f t="shared" si="2"/>
        <v>0</v>
      </c>
      <c r="B58" s="6">
        <v>5</v>
      </c>
      <c r="C58" s="12">
        <v>4</v>
      </c>
      <c r="D58" s="18">
        <v>0</v>
      </c>
      <c r="E58" s="6">
        <v>0</v>
      </c>
      <c r="F58" s="6">
        <v>1</v>
      </c>
      <c r="G58" s="6">
        <v>0</v>
      </c>
      <c r="H58" s="6">
        <v>0</v>
      </c>
      <c r="I58" s="6">
        <v>0</v>
      </c>
      <c r="J58" s="12">
        <v>0</v>
      </c>
      <c r="K58" s="9">
        <v>0</v>
      </c>
      <c r="L58" s="9">
        <v>0</v>
      </c>
      <c r="M58" s="9">
        <v>0</v>
      </c>
      <c r="N58" s="9">
        <v>0</v>
      </c>
      <c r="O58" s="9">
        <v>1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36">
        <v>0</v>
      </c>
    </row>
    <row r="59" spans="1:31" x14ac:dyDescent="0.25">
      <c r="A59" s="35">
        <f t="shared" si="2"/>
        <v>0</v>
      </c>
      <c r="B59" s="6">
        <v>6</v>
      </c>
      <c r="C59" s="12">
        <v>4</v>
      </c>
      <c r="D59" s="18">
        <v>0</v>
      </c>
      <c r="E59" s="6">
        <v>0</v>
      </c>
      <c r="F59" s="6">
        <v>1</v>
      </c>
      <c r="G59" s="6">
        <v>0</v>
      </c>
      <c r="H59" s="6">
        <v>0</v>
      </c>
      <c r="I59" s="6">
        <v>0</v>
      </c>
      <c r="J59" s="12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1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36">
        <v>0</v>
      </c>
    </row>
    <row r="60" spans="1:31" x14ac:dyDescent="0.25">
      <c r="A60" s="35">
        <f t="shared" si="2"/>
        <v>0</v>
      </c>
      <c r="B60" s="6">
        <v>7</v>
      </c>
      <c r="C60" s="12">
        <v>4</v>
      </c>
      <c r="D60" s="18">
        <v>0</v>
      </c>
      <c r="E60" s="6">
        <v>0</v>
      </c>
      <c r="F60" s="6">
        <v>1</v>
      </c>
      <c r="G60" s="6">
        <v>0</v>
      </c>
      <c r="H60" s="6">
        <v>0</v>
      </c>
      <c r="I60" s="6">
        <v>0</v>
      </c>
      <c r="J60" s="12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1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36">
        <v>0</v>
      </c>
    </row>
    <row r="61" spans="1:31" x14ac:dyDescent="0.25">
      <c r="A61" s="35">
        <f t="shared" si="2"/>
        <v>0</v>
      </c>
      <c r="B61" s="6">
        <v>8</v>
      </c>
      <c r="C61" s="12">
        <v>4</v>
      </c>
      <c r="D61" s="18">
        <v>0</v>
      </c>
      <c r="E61" s="6">
        <v>0</v>
      </c>
      <c r="F61" s="6">
        <v>1</v>
      </c>
      <c r="G61" s="6">
        <v>0</v>
      </c>
      <c r="H61" s="6">
        <v>0</v>
      </c>
      <c r="I61" s="6">
        <v>0</v>
      </c>
      <c r="J61" s="12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1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36">
        <v>0</v>
      </c>
    </row>
    <row r="62" spans="1:31" x14ac:dyDescent="0.25">
      <c r="A62" s="35">
        <f t="shared" si="2"/>
        <v>0</v>
      </c>
      <c r="B62" s="6">
        <v>9</v>
      </c>
      <c r="C62" s="12">
        <v>4</v>
      </c>
      <c r="D62" s="18">
        <v>0</v>
      </c>
      <c r="E62" s="6">
        <v>0</v>
      </c>
      <c r="F62" s="6">
        <v>1</v>
      </c>
      <c r="G62" s="6">
        <v>0</v>
      </c>
      <c r="H62" s="6">
        <v>0</v>
      </c>
      <c r="I62" s="6">
        <v>0</v>
      </c>
      <c r="J62" s="12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1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36">
        <v>0</v>
      </c>
    </row>
    <row r="63" spans="1:31" x14ac:dyDescent="0.25">
      <c r="A63" s="35">
        <f t="shared" si="2"/>
        <v>0</v>
      </c>
      <c r="B63" s="6">
        <v>10</v>
      </c>
      <c r="C63" s="12">
        <v>4</v>
      </c>
      <c r="D63" s="18">
        <v>0</v>
      </c>
      <c r="E63" s="6">
        <v>0</v>
      </c>
      <c r="F63" s="6">
        <v>1</v>
      </c>
      <c r="G63" s="6">
        <v>0</v>
      </c>
      <c r="H63" s="6">
        <v>0</v>
      </c>
      <c r="I63" s="6">
        <v>0</v>
      </c>
      <c r="J63" s="12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1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36">
        <v>0</v>
      </c>
    </row>
    <row r="64" spans="1:31" x14ac:dyDescent="0.25">
      <c r="A64" s="35">
        <f t="shared" si="2"/>
        <v>0</v>
      </c>
      <c r="B64" s="6">
        <v>11</v>
      </c>
      <c r="C64" s="12">
        <v>4</v>
      </c>
      <c r="D64" s="18">
        <v>0</v>
      </c>
      <c r="E64" s="6">
        <v>0</v>
      </c>
      <c r="F64" s="6">
        <v>1</v>
      </c>
      <c r="G64" s="6">
        <v>0</v>
      </c>
      <c r="H64" s="6">
        <v>0</v>
      </c>
      <c r="I64" s="6">
        <v>0</v>
      </c>
      <c r="J64" s="12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1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36">
        <v>0</v>
      </c>
    </row>
    <row r="65" spans="1:31" x14ac:dyDescent="0.25">
      <c r="A65" s="35">
        <f t="shared" si="2"/>
        <v>0</v>
      </c>
      <c r="B65" s="6">
        <v>12</v>
      </c>
      <c r="C65" s="12">
        <v>4</v>
      </c>
      <c r="D65" s="18">
        <v>0</v>
      </c>
      <c r="E65" s="6">
        <v>0</v>
      </c>
      <c r="F65" s="6">
        <v>1</v>
      </c>
      <c r="G65" s="6">
        <v>0</v>
      </c>
      <c r="H65" s="6">
        <v>0</v>
      </c>
      <c r="I65" s="6">
        <v>0</v>
      </c>
      <c r="J65" s="12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1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36">
        <v>0</v>
      </c>
    </row>
    <row r="66" spans="1:31" x14ac:dyDescent="0.25">
      <c r="A66" s="35">
        <f t="shared" si="2"/>
        <v>0</v>
      </c>
      <c r="B66" s="6">
        <v>13</v>
      </c>
      <c r="C66" s="12">
        <v>4</v>
      </c>
      <c r="D66" s="18">
        <v>0</v>
      </c>
      <c r="E66" s="6">
        <v>0</v>
      </c>
      <c r="F66" s="6">
        <v>1</v>
      </c>
      <c r="G66" s="6">
        <v>0</v>
      </c>
      <c r="H66" s="6">
        <v>0</v>
      </c>
      <c r="I66" s="6">
        <v>0</v>
      </c>
      <c r="J66" s="12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1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36">
        <v>0</v>
      </c>
    </row>
    <row r="67" spans="1:31" x14ac:dyDescent="0.25">
      <c r="A67" s="35">
        <f t="shared" si="2"/>
        <v>0</v>
      </c>
      <c r="B67" s="6">
        <v>14</v>
      </c>
      <c r="C67" s="12">
        <v>4</v>
      </c>
      <c r="D67" s="18">
        <v>0</v>
      </c>
      <c r="E67" s="6">
        <v>0</v>
      </c>
      <c r="F67" s="6">
        <v>1</v>
      </c>
      <c r="G67" s="6">
        <v>0</v>
      </c>
      <c r="H67" s="6">
        <v>0</v>
      </c>
      <c r="I67" s="6">
        <v>0</v>
      </c>
      <c r="J67" s="12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1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36">
        <v>0</v>
      </c>
    </row>
    <row r="68" spans="1:31" x14ac:dyDescent="0.25">
      <c r="A68" s="35">
        <f t="shared" si="2"/>
        <v>0</v>
      </c>
      <c r="B68" s="6">
        <v>15</v>
      </c>
      <c r="C68" s="12">
        <v>4</v>
      </c>
      <c r="D68" s="18">
        <v>0</v>
      </c>
      <c r="E68" s="6">
        <v>0</v>
      </c>
      <c r="F68" s="6">
        <v>1</v>
      </c>
      <c r="G68" s="6">
        <v>0</v>
      </c>
      <c r="H68" s="6">
        <v>0</v>
      </c>
      <c r="I68" s="6">
        <v>0</v>
      </c>
      <c r="J68" s="12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1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36">
        <v>0</v>
      </c>
    </row>
    <row r="69" spans="1:31" x14ac:dyDescent="0.25">
      <c r="A69" s="35">
        <f t="shared" si="2"/>
        <v>0</v>
      </c>
      <c r="B69" s="6">
        <v>20</v>
      </c>
      <c r="C69" s="12">
        <v>4</v>
      </c>
      <c r="D69" s="18">
        <v>0</v>
      </c>
      <c r="E69" s="6">
        <v>0</v>
      </c>
      <c r="F69" s="6">
        <v>1</v>
      </c>
      <c r="G69" s="6">
        <v>0</v>
      </c>
      <c r="H69" s="6">
        <v>0</v>
      </c>
      <c r="I69" s="6">
        <v>0</v>
      </c>
      <c r="J69" s="12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1</v>
      </c>
      <c r="AA69" s="9">
        <v>0</v>
      </c>
      <c r="AB69" s="9">
        <v>0</v>
      </c>
      <c r="AC69" s="9">
        <v>0</v>
      </c>
      <c r="AD69" s="9">
        <v>0</v>
      </c>
      <c r="AE69" s="36">
        <v>0</v>
      </c>
    </row>
    <row r="70" spans="1:31" x14ac:dyDescent="0.25">
      <c r="A70" s="35" t="str">
        <f t="shared" si="2"/>
        <v>281*</v>
      </c>
      <c r="B70" s="6">
        <v>28</v>
      </c>
      <c r="C70" s="12">
        <v>4</v>
      </c>
      <c r="D70" s="18">
        <v>1</v>
      </c>
      <c r="E70" s="6">
        <v>0</v>
      </c>
      <c r="F70" s="6">
        <v>1</v>
      </c>
      <c r="G70" s="6">
        <v>0</v>
      </c>
      <c r="H70" s="6">
        <v>0</v>
      </c>
      <c r="I70" s="6">
        <v>0</v>
      </c>
      <c r="J70" s="12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1</v>
      </c>
      <c r="AB70" s="9">
        <v>0</v>
      </c>
      <c r="AC70" s="9">
        <v>0</v>
      </c>
      <c r="AD70" s="9">
        <v>0</v>
      </c>
      <c r="AE70" s="36">
        <v>0</v>
      </c>
    </row>
    <row r="71" spans="1:31" x14ac:dyDescent="0.25">
      <c r="A71" s="35">
        <f t="shared" ref="A71:A74" si="3">IF(D71=1,B71&amp;D71&amp;"*",0)</f>
        <v>0</v>
      </c>
      <c r="B71" s="6">
        <v>38</v>
      </c>
      <c r="C71" s="12">
        <v>4</v>
      </c>
      <c r="D71" s="18">
        <v>0</v>
      </c>
      <c r="E71" s="6">
        <v>0</v>
      </c>
      <c r="F71" s="6">
        <v>1</v>
      </c>
      <c r="G71" s="6">
        <v>0</v>
      </c>
      <c r="H71" s="6">
        <v>0</v>
      </c>
      <c r="I71" s="6">
        <v>0</v>
      </c>
      <c r="J71" s="12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1</v>
      </c>
      <c r="AC71" s="9">
        <v>0</v>
      </c>
      <c r="AD71" s="9">
        <v>0</v>
      </c>
      <c r="AE71" s="36">
        <v>0</v>
      </c>
    </row>
    <row r="72" spans="1:31" x14ac:dyDescent="0.25">
      <c r="A72" s="35">
        <f t="shared" si="3"/>
        <v>0</v>
      </c>
      <c r="B72" s="6">
        <v>39</v>
      </c>
      <c r="C72" s="12">
        <v>4</v>
      </c>
      <c r="D72" s="18">
        <v>0</v>
      </c>
      <c r="E72" s="6">
        <v>0</v>
      </c>
      <c r="F72" s="6">
        <v>1</v>
      </c>
      <c r="G72" s="6">
        <v>0</v>
      </c>
      <c r="H72" s="6">
        <v>0</v>
      </c>
      <c r="I72" s="6">
        <v>0</v>
      </c>
      <c r="J72" s="12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1</v>
      </c>
      <c r="AD72" s="9">
        <v>0</v>
      </c>
      <c r="AE72" s="36">
        <v>0</v>
      </c>
    </row>
    <row r="73" spans="1:31" x14ac:dyDescent="0.25">
      <c r="A73" s="35" t="str">
        <f t="shared" si="3"/>
        <v>451*</v>
      </c>
      <c r="B73" s="6">
        <v>45</v>
      </c>
      <c r="C73" s="12">
        <v>4</v>
      </c>
      <c r="D73" s="18">
        <v>1</v>
      </c>
      <c r="E73" s="6">
        <v>0</v>
      </c>
      <c r="F73" s="6">
        <v>1</v>
      </c>
      <c r="G73" s="6">
        <v>0</v>
      </c>
      <c r="H73" s="6">
        <v>0</v>
      </c>
      <c r="I73" s="6">
        <v>0</v>
      </c>
      <c r="J73" s="12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1</v>
      </c>
      <c r="AE73" s="36">
        <v>0</v>
      </c>
    </row>
    <row r="74" spans="1:31" x14ac:dyDescent="0.25">
      <c r="A74" s="37">
        <f t="shared" si="3"/>
        <v>0</v>
      </c>
      <c r="B74" s="13">
        <v>46</v>
      </c>
      <c r="C74" s="10">
        <v>4</v>
      </c>
      <c r="D74" s="18">
        <v>0</v>
      </c>
      <c r="E74" s="13">
        <v>0</v>
      </c>
      <c r="F74" s="13">
        <v>1</v>
      </c>
      <c r="G74" s="13">
        <v>0</v>
      </c>
      <c r="H74" s="13">
        <v>0</v>
      </c>
      <c r="I74" s="13">
        <v>0</v>
      </c>
      <c r="J74" s="12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38">
        <v>1</v>
      </c>
    </row>
    <row r="75" spans="1:31" x14ac:dyDescent="0.25">
      <c r="A75" s="30">
        <f t="shared" ref="A75:A95" si="4">IF(D75=1,B75&amp;D75&amp;"*",0)</f>
        <v>0</v>
      </c>
      <c r="B75" s="31">
        <v>1</v>
      </c>
      <c r="C75" s="32">
        <v>6</v>
      </c>
      <c r="D75" s="18">
        <v>0</v>
      </c>
      <c r="E75" s="31">
        <v>0</v>
      </c>
      <c r="F75" s="31">
        <v>0</v>
      </c>
      <c r="G75" s="31">
        <v>1</v>
      </c>
      <c r="H75" s="31">
        <v>0</v>
      </c>
      <c r="I75" s="31">
        <v>0</v>
      </c>
      <c r="J75" s="12">
        <v>0</v>
      </c>
      <c r="K75" s="33">
        <v>1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0</v>
      </c>
      <c r="Y75" s="33">
        <v>0</v>
      </c>
      <c r="Z75" s="33">
        <v>0</v>
      </c>
      <c r="AA75" s="33">
        <v>0</v>
      </c>
      <c r="AB75" s="33">
        <v>0</v>
      </c>
      <c r="AC75" s="33">
        <v>0</v>
      </c>
      <c r="AD75" s="33">
        <v>0</v>
      </c>
      <c r="AE75" s="34">
        <v>0</v>
      </c>
    </row>
    <row r="76" spans="1:31" x14ac:dyDescent="0.25">
      <c r="A76" s="35">
        <f t="shared" si="4"/>
        <v>0</v>
      </c>
      <c r="B76" s="6">
        <v>2</v>
      </c>
      <c r="C76" s="12">
        <v>6</v>
      </c>
      <c r="D76" s="18">
        <v>0</v>
      </c>
      <c r="E76" s="6">
        <v>0</v>
      </c>
      <c r="F76" s="6">
        <v>0</v>
      </c>
      <c r="G76" s="6">
        <v>1</v>
      </c>
      <c r="H76" s="6">
        <v>0</v>
      </c>
      <c r="I76" s="6">
        <v>0</v>
      </c>
      <c r="J76" s="12">
        <v>0</v>
      </c>
      <c r="K76" s="9">
        <v>0</v>
      </c>
      <c r="L76" s="9">
        <v>1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36">
        <v>0</v>
      </c>
    </row>
    <row r="77" spans="1:31" x14ac:dyDescent="0.25">
      <c r="A77" s="35">
        <f t="shared" si="4"/>
        <v>0</v>
      </c>
      <c r="B77" s="6">
        <v>3</v>
      </c>
      <c r="C77" s="12">
        <v>6</v>
      </c>
      <c r="D77" s="18">
        <v>0</v>
      </c>
      <c r="E77" s="6">
        <v>0</v>
      </c>
      <c r="F77" s="6">
        <v>0</v>
      </c>
      <c r="G77" s="6">
        <v>1</v>
      </c>
      <c r="H77" s="6">
        <v>0</v>
      </c>
      <c r="I77" s="6">
        <v>0</v>
      </c>
      <c r="J77" s="12">
        <v>0</v>
      </c>
      <c r="K77" s="9">
        <v>0</v>
      </c>
      <c r="L77" s="9">
        <v>0</v>
      </c>
      <c r="M77" s="9">
        <v>1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36">
        <v>0</v>
      </c>
    </row>
    <row r="78" spans="1:31" x14ac:dyDescent="0.25">
      <c r="A78" s="35">
        <f t="shared" si="4"/>
        <v>0</v>
      </c>
      <c r="B78" s="6">
        <v>4</v>
      </c>
      <c r="C78" s="12">
        <v>6</v>
      </c>
      <c r="D78" s="18">
        <v>0</v>
      </c>
      <c r="E78" s="6">
        <v>0</v>
      </c>
      <c r="F78" s="6">
        <v>0</v>
      </c>
      <c r="G78" s="6">
        <v>1</v>
      </c>
      <c r="H78" s="6">
        <v>0</v>
      </c>
      <c r="I78" s="6">
        <v>0</v>
      </c>
      <c r="J78" s="12">
        <v>0</v>
      </c>
      <c r="K78" s="9">
        <v>0</v>
      </c>
      <c r="L78" s="9">
        <v>0</v>
      </c>
      <c r="M78" s="9">
        <v>0</v>
      </c>
      <c r="N78" s="9">
        <v>1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36">
        <v>0</v>
      </c>
    </row>
    <row r="79" spans="1:31" x14ac:dyDescent="0.25">
      <c r="A79" s="35">
        <f t="shared" si="4"/>
        <v>0</v>
      </c>
      <c r="B79" s="6">
        <v>5</v>
      </c>
      <c r="C79" s="12">
        <v>6</v>
      </c>
      <c r="D79" s="18">
        <v>0</v>
      </c>
      <c r="E79" s="6">
        <v>0</v>
      </c>
      <c r="F79" s="6">
        <v>0</v>
      </c>
      <c r="G79" s="6">
        <v>1</v>
      </c>
      <c r="H79" s="6">
        <v>0</v>
      </c>
      <c r="I79" s="6">
        <v>0</v>
      </c>
      <c r="J79" s="12">
        <v>0</v>
      </c>
      <c r="K79" s="9">
        <v>0</v>
      </c>
      <c r="L79" s="9">
        <v>0</v>
      </c>
      <c r="M79" s="9">
        <v>0</v>
      </c>
      <c r="N79" s="9">
        <v>0</v>
      </c>
      <c r="O79" s="9">
        <v>1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36">
        <v>0</v>
      </c>
    </row>
    <row r="80" spans="1:31" x14ac:dyDescent="0.25">
      <c r="A80" s="35" t="str">
        <f t="shared" si="4"/>
        <v>61*</v>
      </c>
      <c r="B80" s="6">
        <v>6</v>
      </c>
      <c r="C80" s="12">
        <v>6</v>
      </c>
      <c r="D80" s="18">
        <v>1</v>
      </c>
      <c r="E80" s="6">
        <v>0</v>
      </c>
      <c r="F80" s="6">
        <v>0</v>
      </c>
      <c r="G80" s="6">
        <v>1</v>
      </c>
      <c r="H80" s="6">
        <v>0</v>
      </c>
      <c r="I80" s="6">
        <v>0</v>
      </c>
      <c r="J80" s="12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1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36">
        <v>0</v>
      </c>
    </row>
    <row r="81" spans="1:31" x14ac:dyDescent="0.25">
      <c r="A81" s="35">
        <f t="shared" si="4"/>
        <v>0</v>
      </c>
      <c r="B81" s="6">
        <v>7</v>
      </c>
      <c r="C81" s="12">
        <v>6</v>
      </c>
      <c r="D81" s="18">
        <v>0</v>
      </c>
      <c r="E81" s="6">
        <v>0</v>
      </c>
      <c r="F81" s="6">
        <v>0</v>
      </c>
      <c r="G81" s="6">
        <v>1</v>
      </c>
      <c r="H81" s="6">
        <v>0</v>
      </c>
      <c r="I81" s="6">
        <v>0</v>
      </c>
      <c r="J81" s="12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1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36">
        <v>0</v>
      </c>
    </row>
    <row r="82" spans="1:31" x14ac:dyDescent="0.25">
      <c r="A82" s="35">
        <f t="shared" si="4"/>
        <v>0</v>
      </c>
      <c r="B82" s="6">
        <v>8</v>
      </c>
      <c r="C82" s="12">
        <v>6</v>
      </c>
      <c r="D82" s="18">
        <v>0</v>
      </c>
      <c r="E82" s="6">
        <v>0</v>
      </c>
      <c r="F82" s="6">
        <v>0</v>
      </c>
      <c r="G82" s="6">
        <v>1</v>
      </c>
      <c r="H82" s="6">
        <v>0</v>
      </c>
      <c r="I82" s="6">
        <v>0</v>
      </c>
      <c r="J82" s="12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1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36">
        <v>0</v>
      </c>
    </row>
    <row r="83" spans="1:31" x14ac:dyDescent="0.25">
      <c r="A83" s="35">
        <f t="shared" si="4"/>
        <v>0</v>
      </c>
      <c r="B83" s="6">
        <v>9</v>
      </c>
      <c r="C83" s="12">
        <v>6</v>
      </c>
      <c r="D83" s="18">
        <v>0</v>
      </c>
      <c r="E83" s="6">
        <v>0</v>
      </c>
      <c r="F83" s="6">
        <v>0</v>
      </c>
      <c r="G83" s="6">
        <v>1</v>
      </c>
      <c r="H83" s="6">
        <v>0</v>
      </c>
      <c r="I83" s="6">
        <v>0</v>
      </c>
      <c r="J83" s="12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1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36">
        <v>0</v>
      </c>
    </row>
    <row r="84" spans="1:31" x14ac:dyDescent="0.25">
      <c r="A84" s="35">
        <f t="shared" si="4"/>
        <v>0</v>
      </c>
      <c r="B84" s="6">
        <v>10</v>
      </c>
      <c r="C84" s="12">
        <v>6</v>
      </c>
      <c r="D84" s="18">
        <v>0</v>
      </c>
      <c r="E84" s="6">
        <v>0</v>
      </c>
      <c r="F84" s="6">
        <v>0</v>
      </c>
      <c r="G84" s="6">
        <v>1</v>
      </c>
      <c r="H84" s="6">
        <v>0</v>
      </c>
      <c r="I84" s="6">
        <v>0</v>
      </c>
      <c r="J84" s="12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1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36">
        <v>0</v>
      </c>
    </row>
    <row r="85" spans="1:31" x14ac:dyDescent="0.25">
      <c r="A85" s="35">
        <f t="shared" si="4"/>
        <v>0</v>
      </c>
      <c r="B85" s="6">
        <v>11</v>
      </c>
      <c r="C85" s="12">
        <v>6</v>
      </c>
      <c r="D85" s="18">
        <v>0</v>
      </c>
      <c r="E85" s="6">
        <v>0</v>
      </c>
      <c r="F85" s="6">
        <v>0</v>
      </c>
      <c r="G85" s="6">
        <v>1</v>
      </c>
      <c r="H85" s="6">
        <v>0</v>
      </c>
      <c r="I85" s="6">
        <v>0</v>
      </c>
      <c r="J85" s="12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1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36">
        <v>0</v>
      </c>
    </row>
    <row r="86" spans="1:31" x14ac:dyDescent="0.25">
      <c r="A86" s="35">
        <f t="shared" si="4"/>
        <v>0</v>
      </c>
      <c r="B86" s="6">
        <v>12</v>
      </c>
      <c r="C86" s="12">
        <v>6</v>
      </c>
      <c r="D86" s="18">
        <v>0</v>
      </c>
      <c r="E86" s="6">
        <v>0</v>
      </c>
      <c r="F86" s="6">
        <v>0</v>
      </c>
      <c r="G86" s="6">
        <v>1</v>
      </c>
      <c r="H86" s="6">
        <v>0</v>
      </c>
      <c r="I86" s="6">
        <v>0</v>
      </c>
      <c r="J86" s="12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1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36">
        <v>0</v>
      </c>
    </row>
    <row r="87" spans="1:31" x14ac:dyDescent="0.25">
      <c r="A87" s="35">
        <f t="shared" si="4"/>
        <v>0</v>
      </c>
      <c r="B87" s="6">
        <v>13</v>
      </c>
      <c r="C87" s="12">
        <v>6</v>
      </c>
      <c r="D87" s="18">
        <v>0</v>
      </c>
      <c r="E87" s="6">
        <v>0</v>
      </c>
      <c r="F87" s="6">
        <v>0</v>
      </c>
      <c r="G87" s="6">
        <v>1</v>
      </c>
      <c r="H87" s="6">
        <v>0</v>
      </c>
      <c r="I87" s="6">
        <v>0</v>
      </c>
      <c r="J87" s="12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1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36">
        <v>0</v>
      </c>
    </row>
    <row r="88" spans="1:31" x14ac:dyDescent="0.25">
      <c r="A88" s="35">
        <f t="shared" si="4"/>
        <v>0</v>
      </c>
      <c r="B88" s="6">
        <v>14</v>
      </c>
      <c r="C88" s="12">
        <v>6</v>
      </c>
      <c r="D88" s="18">
        <v>0</v>
      </c>
      <c r="E88" s="6">
        <v>0</v>
      </c>
      <c r="F88" s="6">
        <v>0</v>
      </c>
      <c r="G88" s="6">
        <v>1</v>
      </c>
      <c r="H88" s="6">
        <v>0</v>
      </c>
      <c r="I88" s="6">
        <v>0</v>
      </c>
      <c r="J88" s="12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1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36">
        <v>0</v>
      </c>
    </row>
    <row r="89" spans="1:31" x14ac:dyDescent="0.25">
      <c r="A89" s="35">
        <f t="shared" si="4"/>
        <v>0</v>
      </c>
      <c r="B89" s="6">
        <v>15</v>
      </c>
      <c r="C89" s="12">
        <v>6</v>
      </c>
      <c r="D89" s="18">
        <v>0</v>
      </c>
      <c r="E89" s="6">
        <v>0</v>
      </c>
      <c r="F89" s="6">
        <v>0</v>
      </c>
      <c r="G89" s="6">
        <v>1</v>
      </c>
      <c r="H89" s="6">
        <v>0</v>
      </c>
      <c r="I89" s="6">
        <v>0</v>
      </c>
      <c r="J89" s="12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1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36">
        <v>0</v>
      </c>
    </row>
    <row r="90" spans="1:31" x14ac:dyDescent="0.25">
      <c r="A90" s="35" t="str">
        <f t="shared" si="4"/>
        <v>201*</v>
      </c>
      <c r="B90" s="6">
        <v>20</v>
      </c>
      <c r="C90" s="12">
        <v>6</v>
      </c>
      <c r="D90" s="18">
        <v>1</v>
      </c>
      <c r="E90" s="6">
        <v>0</v>
      </c>
      <c r="F90" s="6">
        <v>0</v>
      </c>
      <c r="G90" s="6">
        <v>1</v>
      </c>
      <c r="H90" s="6">
        <v>0</v>
      </c>
      <c r="I90" s="6">
        <v>0</v>
      </c>
      <c r="J90" s="12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1</v>
      </c>
      <c r="AA90" s="9">
        <v>0</v>
      </c>
      <c r="AB90" s="9">
        <v>0</v>
      </c>
      <c r="AC90" s="9">
        <v>0</v>
      </c>
      <c r="AD90" s="9">
        <v>0</v>
      </c>
      <c r="AE90" s="36">
        <v>0</v>
      </c>
    </row>
    <row r="91" spans="1:31" x14ac:dyDescent="0.25">
      <c r="A91" s="35">
        <f t="shared" si="4"/>
        <v>0</v>
      </c>
      <c r="B91" s="6">
        <v>28</v>
      </c>
      <c r="C91" s="12">
        <v>6</v>
      </c>
      <c r="D91" s="18">
        <v>0</v>
      </c>
      <c r="E91" s="6">
        <v>0</v>
      </c>
      <c r="F91" s="6">
        <v>0</v>
      </c>
      <c r="G91" s="6">
        <v>1</v>
      </c>
      <c r="H91" s="6">
        <v>0</v>
      </c>
      <c r="I91" s="6">
        <v>0</v>
      </c>
      <c r="J91" s="12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1</v>
      </c>
      <c r="AB91" s="9">
        <v>0</v>
      </c>
      <c r="AC91" s="9">
        <v>0</v>
      </c>
      <c r="AD91" s="9">
        <v>0</v>
      </c>
      <c r="AE91" s="36">
        <v>0</v>
      </c>
    </row>
    <row r="92" spans="1:31" x14ac:dyDescent="0.25">
      <c r="A92" s="35">
        <f t="shared" si="4"/>
        <v>0</v>
      </c>
      <c r="B92" s="6">
        <v>38</v>
      </c>
      <c r="C92" s="12">
        <v>6</v>
      </c>
      <c r="D92" s="18">
        <v>0</v>
      </c>
      <c r="E92" s="6">
        <v>0</v>
      </c>
      <c r="F92" s="6">
        <v>0</v>
      </c>
      <c r="G92" s="6">
        <v>1</v>
      </c>
      <c r="H92" s="6">
        <v>0</v>
      </c>
      <c r="I92" s="6">
        <v>0</v>
      </c>
      <c r="J92" s="12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1</v>
      </c>
      <c r="AC92" s="9">
        <v>0</v>
      </c>
      <c r="AD92" s="9">
        <v>0</v>
      </c>
      <c r="AE92" s="36">
        <v>0</v>
      </c>
    </row>
    <row r="93" spans="1:31" x14ac:dyDescent="0.25">
      <c r="A93" s="35">
        <f t="shared" si="4"/>
        <v>0</v>
      </c>
      <c r="B93" s="6">
        <v>39</v>
      </c>
      <c r="C93" s="12">
        <v>6</v>
      </c>
      <c r="D93" s="18">
        <v>0</v>
      </c>
      <c r="E93" s="6">
        <v>0</v>
      </c>
      <c r="F93" s="6">
        <v>0</v>
      </c>
      <c r="G93" s="6">
        <v>1</v>
      </c>
      <c r="H93" s="6">
        <v>0</v>
      </c>
      <c r="I93" s="6">
        <v>0</v>
      </c>
      <c r="J93" s="12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1</v>
      </c>
      <c r="AD93" s="9">
        <v>0</v>
      </c>
      <c r="AE93" s="36">
        <v>0</v>
      </c>
    </row>
    <row r="94" spans="1:31" x14ac:dyDescent="0.25">
      <c r="A94" s="35">
        <f t="shared" si="4"/>
        <v>0</v>
      </c>
      <c r="B94" s="6">
        <v>45</v>
      </c>
      <c r="C94" s="12">
        <v>6</v>
      </c>
      <c r="D94" s="18">
        <v>0</v>
      </c>
      <c r="E94" s="6">
        <v>0</v>
      </c>
      <c r="F94" s="6">
        <v>0</v>
      </c>
      <c r="G94" s="6">
        <v>1</v>
      </c>
      <c r="H94" s="6">
        <v>0</v>
      </c>
      <c r="I94" s="6">
        <v>0</v>
      </c>
      <c r="J94" s="12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1</v>
      </c>
      <c r="AE94" s="36">
        <v>0</v>
      </c>
    </row>
    <row r="95" spans="1:31" x14ac:dyDescent="0.25">
      <c r="A95" s="37">
        <f t="shared" si="4"/>
        <v>0</v>
      </c>
      <c r="B95" s="13">
        <v>46</v>
      </c>
      <c r="C95" s="10">
        <v>6</v>
      </c>
      <c r="D95" s="18">
        <v>0</v>
      </c>
      <c r="E95" s="13">
        <v>0</v>
      </c>
      <c r="F95" s="13">
        <v>0</v>
      </c>
      <c r="G95" s="13">
        <v>1</v>
      </c>
      <c r="H95" s="13">
        <v>0</v>
      </c>
      <c r="I95" s="13">
        <v>0</v>
      </c>
      <c r="J95" s="12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38">
        <v>1</v>
      </c>
    </row>
    <row r="96" spans="1:31" x14ac:dyDescent="0.25">
      <c r="A96" s="30">
        <f t="shared" ref="A96:A112" si="5">IF(D96=1,B96&amp;D96&amp;"*",0)</f>
        <v>0</v>
      </c>
      <c r="B96" s="31">
        <v>1</v>
      </c>
      <c r="C96" s="32">
        <v>9</v>
      </c>
      <c r="D96" s="18">
        <v>0</v>
      </c>
      <c r="E96" s="31">
        <v>0</v>
      </c>
      <c r="F96" s="31">
        <v>0</v>
      </c>
      <c r="G96" s="31">
        <v>0</v>
      </c>
      <c r="H96" s="31">
        <v>1</v>
      </c>
      <c r="I96" s="31">
        <v>0</v>
      </c>
      <c r="J96" s="12">
        <v>0</v>
      </c>
      <c r="K96" s="33">
        <v>1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0</v>
      </c>
      <c r="AA96" s="33">
        <v>0</v>
      </c>
      <c r="AB96" s="33">
        <v>0</v>
      </c>
      <c r="AC96" s="33">
        <v>0</v>
      </c>
      <c r="AD96" s="33">
        <v>0</v>
      </c>
      <c r="AE96" s="34">
        <v>0</v>
      </c>
    </row>
    <row r="97" spans="1:38" x14ac:dyDescent="0.25">
      <c r="A97" s="35">
        <f t="shared" si="5"/>
        <v>0</v>
      </c>
      <c r="B97" s="6">
        <v>2</v>
      </c>
      <c r="C97" s="12">
        <v>9</v>
      </c>
      <c r="D97" s="18">
        <v>0</v>
      </c>
      <c r="E97" s="6">
        <v>0</v>
      </c>
      <c r="F97" s="6">
        <v>0</v>
      </c>
      <c r="G97" s="6">
        <v>0</v>
      </c>
      <c r="H97" s="6">
        <v>1</v>
      </c>
      <c r="I97" s="6">
        <v>0</v>
      </c>
      <c r="J97" s="12">
        <v>0</v>
      </c>
      <c r="K97" s="9">
        <v>0</v>
      </c>
      <c r="L97" s="9">
        <v>1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36">
        <v>0</v>
      </c>
    </row>
    <row r="98" spans="1:38" x14ac:dyDescent="0.25">
      <c r="A98" s="35">
        <f t="shared" si="5"/>
        <v>0</v>
      </c>
      <c r="B98" s="6">
        <v>3</v>
      </c>
      <c r="C98" s="12">
        <v>9</v>
      </c>
      <c r="D98" s="18">
        <v>0</v>
      </c>
      <c r="E98" s="6">
        <v>0</v>
      </c>
      <c r="F98" s="6">
        <v>0</v>
      </c>
      <c r="G98" s="6">
        <v>0</v>
      </c>
      <c r="H98" s="6">
        <v>1</v>
      </c>
      <c r="I98" s="6">
        <v>0</v>
      </c>
      <c r="J98" s="12">
        <v>0</v>
      </c>
      <c r="K98" s="9">
        <v>0</v>
      </c>
      <c r="L98" s="9">
        <v>0</v>
      </c>
      <c r="M98" s="9">
        <v>1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36">
        <v>0</v>
      </c>
    </row>
    <row r="99" spans="1:38" x14ac:dyDescent="0.25">
      <c r="A99" s="35">
        <f t="shared" si="5"/>
        <v>0</v>
      </c>
      <c r="B99" s="6">
        <v>4</v>
      </c>
      <c r="C99" s="12">
        <v>9</v>
      </c>
      <c r="D99" s="18">
        <v>0</v>
      </c>
      <c r="E99" s="6">
        <v>0</v>
      </c>
      <c r="F99" s="6">
        <v>0</v>
      </c>
      <c r="G99" s="6">
        <v>0</v>
      </c>
      <c r="H99" s="6">
        <v>1</v>
      </c>
      <c r="I99" s="6">
        <v>0</v>
      </c>
      <c r="J99" s="12">
        <v>0</v>
      </c>
      <c r="K99" s="9">
        <v>0</v>
      </c>
      <c r="L99" s="9">
        <v>0</v>
      </c>
      <c r="M99" s="9">
        <v>0</v>
      </c>
      <c r="N99" s="9">
        <v>1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36">
        <v>0</v>
      </c>
    </row>
    <row r="100" spans="1:38" x14ac:dyDescent="0.25">
      <c r="A100" s="35">
        <f t="shared" si="5"/>
        <v>0</v>
      </c>
      <c r="B100" s="6">
        <v>5</v>
      </c>
      <c r="C100" s="12">
        <v>9</v>
      </c>
      <c r="D100" s="18">
        <v>0</v>
      </c>
      <c r="E100" s="6">
        <v>0</v>
      </c>
      <c r="F100" s="6">
        <v>0</v>
      </c>
      <c r="G100" s="6">
        <v>0</v>
      </c>
      <c r="H100" s="6">
        <v>1</v>
      </c>
      <c r="I100" s="6">
        <v>0</v>
      </c>
      <c r="J100" s="12">
        <v>0</v>
      </c>
      <c r="K100" s="9">
        <v>0</v>
      </c>
      <c r="L100" s="9">
        <v>0</v>
      </c>
      <c r="M100" s="9">
        <v>0</v>
      </c>
      <c r="N100" s="9">
        <v>0</v>
      </c>
      <c r="O100" s="9">
        <v>1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36">
        <v>0</v>
      </c>
    </row>
    <row r="101" spans="1:38" x14ac:dyDescent="0.25">
      <c r="A101" s="35">
        <f t="shared" si="5"/>
        <v>0</v>
      </c>
      <c r="B101" s="6">
        <v>6</v>
      </c>
      <c r="C101" s="12">
        <v>9</v>
      </c>
      <c r="D101" s="18">
        <v>0</v>
      </c>
      <c r="E101" s="6">
        <v>0</v>
      </c>
      <c r="F101" s="6">
        <v>0</v>
      </c>
      <c r="G101" s="6">
        <v>0</v>
      </c>
      <c r="H101" s="6">
        <v>1</v>
      </c>
      <c r="I101" s="6">
        <v>0</v>
      </c>
      <c r="J101" s="12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1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36">
        <v>0</v>
      </c>
    </row>
    <row r="102" spans="1:38" x14ac:dyDescent="0.25">
      <c r="A102" s="35">
        <f t="shared" si="5"/>
        <v>0</v>
      </c>
      <c r="B102" s="6">
        <v>7</v>
      </c>
      <c r="C102" s="12">
        <v>9</v>
      </c>
      <c r="D102" s="18">
        <v>0</v>
      </c>
      <c r="E102" s="6">
        <v>0</v>
      </c>
      <c r="F102" s="6">
        <v>0</v>
      </c>
      <c r="G102" s="6">
        <v>0</v>
      </c>
      <c r="H102" s="6">
        <v>1</v>
      </c>
      <c r="I102" s="6">
        <v>0</v>
      </c>
      <c r="J102" s="12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1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36">
        <v>0</v>
      </c>
    </row>
    <row r="103" spans="1:38" x14ac:dyDescent="0.25">
      <c r="A103" s="35">
        <f t="shared" si="5"/>
        <v>0</v>
      </c>
      <c r="B103" s="6">
        <v>8</v>
      </c>
      <c r="C103" s="12">
        <v>9</v>
      </c>
      <c r="D103" s="18">
        <v>0</v>
      </c>
      <c r="E103" s="6">
        <v>0</v>
      </c>
      <c r="F103" s="6">
        <v>0</v>
      </c>
      <c r="G103" s="6">
        <v>0</v>
      </c>
      <c r="H103" s="6">
        <v>1</v>
      </c>
      <c r="I103" s="6">
        <v>0</v>
      </c>
      <c r="J103" s="12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1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36">
        <v>0</v>
      </c>
    </row>
    <row r="104" spans="1:38" x14ac:dyDescent="0.25">
      <c r="A104" s="35">
        <f t="shared" si="5"/>
        <v>0</v>
      </c>
      <c r="B104" s="6">
        <v>9</v>
      </c>
      <c r="C104" s="12">
        <v>9</v>
      </c>
      <c r="D104" s="18">
        <v>0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12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1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36">
        <v>0</v>
      </c>
    </row>
    <row r="105" spans="1:38" x14ac:dyDescent="0.25">
      <c r="A105" s="35">
        <f t="shared" si="5"/>
        <v>0</v>
      </c>
      <c r="B105" s="6">
        <v>10</v>
      </c>
      <c r="C105" s="12">
        <v>9</v>
      </c>
      <c r="D105" s="18">
        <v>0</v>
      </c>
      <c r="E105" s="6">
        <v>0</v>
      </c>
      <c r="F105" s="6">
        <v>0</v>
      </c>
      <c r="G105" s="6">
        <v>0</v>
      </c>
      <c r="H105" s="6">
        <v>1</v>
      </c>
      <c r="I105" s="6">
        <v>0</v>
      </c>
      <c r="J105" s="12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1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36">
        <v>0</v>
      </c>
    </row>
    <row r="106" spans="1:38" x14ac:dyDescent="0.25">
      <c r="A106" s="35">
        <f t="shared" si="5"/>
        <v>0</v>
      </c>
      <c r="B106" s="6">
        <v>11</v>
      </c>
      <c r="C106" s="12">
        <v>9</v>
      </c>
      <c r="D106" s="18">
        <v>0</v>
      </c>
      <c r="E106" s="6">
        <v>0</v>
      </c>
      <c r="F106" s="6">
        <v>0</v>
      </c>
      <c r="G106" s="6">
        <v>0</v>
      </c>
      <c r="H106" s="6">
        <v>1</v>
      </c>
      <c r="I106" s="6">
        <v>0</v>
      </c>
      <c r="J106" s="12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1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36">
        <v>0</v>
      </c>
    </row>
    <row r="107" spans="1:38" x14ac:dyDescent="0.25">
      <c r="A107" s="35">
        <f t="shared" si="5"/>
        <v>0</v>
      </c>
      <c r="B107" s="6">
        <v>12</v>
      </c>
      <c r="C107" s="12">
        <v>9</v>
      </c>
      <c r="D107" s="18">
        <v>0</v>
      </c>
      <c r="E107" s="6">
        <v>0</v>
      </c>
      <c r="F107" s="6">
        <v>0</v>
      </c>
      <c r="G107" s="6">
        <v>0</v>
      </c>
      <c r="H107" s="6">
        <v>1</v>
      </c>
      <c r="I107" s="6">
        <v>0</v>
      </c>
      <c r="J107" s="12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1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36">
        <v>0</v>
      </c>
    </row>
    <row r="108" spans="1:38" x14ac:dyDescent="0.25">
      <c r="A108" s="35">
        <f t="shared" si="5"/>
        <v>0</v>
      </c>
      <c r="B108" s="6">
        <v>13</v>
      </c>
      <c r="C108" s="12">
        <v>9</v>
      </c>
      <c r="D108" s="18">
        <v>0</v>
      </c>
      <c r="E108" s="6">
        <v>0</v>
      </c>
      <c r="F108" s="6">
        <v>0</v>
      </c>
      <c r="G108" s="6">
        <v>0</v>
      </c>
      <c r="H108" s="6">
        <v>1</v>
      </c>
      <c r="I108" s="6">
        <v>0</v>
      </c>
      <c r="J108" s="12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1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36">
        <v>0</v>
      </c>
    </row>
    <row r="109" spans="1:38" x14ac:dyDescent="0.25">
      <c r="A109" s="35">
        <f t="shared" si="5"/>
        <v>0</v>
      </c>
      <c r="B109" s="6">
        <v>14</v>
      </c>
      <c r="C109" s="12">
        <v>9</v>
      </c>
      <c r="D109" s="18">
        <v>0</v>
      </c>
      <c r="E109" s="6">
        <v>0</v>
      </c>
      <c r="F109" s="6">
        <v>0</v>
      </c>
      <c r="G109" s="6">
        <v>0</v>
      </c>
      <c r="H109" s="6">
        <v>1</v>
      </c>
      <c r="I109" s="6">
        <v>0</v>
      </c>
      <c r="J109" s="12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1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36">
        <v>0</v>
      </c>
    </row>
    <row r="110" spans="1:38" x14ac:dyDescent="0.25">
      <c r="A110" s="35">
        <f t="shared" si="5"/>
        <v>0</v>
      </c>
      <c r="B110" s="6">
        <v>15</v>
      </c>
      <c r="C110" s="12">
        <v>9</v>
      </c>
      <c r="D110" s="18">
        <v>0</v>
      </c>
      <c r="E110" s="6">
        <v>0</v>
      </c>
      <c r="F110" s="6">
        <v>0</v>
      </c>
      <c r="G110" s="6">
        <v>0</v>
      </c>
      <c r="H110" s="6">
        <v>1</v>
      </c>
      <c r="I110" s="6">
        <v>0</v>
      </c>
      <c r="J110" s="12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1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36">
        <v>0</v>
      </c>
      <c r="AG110" s="8"/>
      <c r="AH110" s="8"/>
      <c r="AI110" s="8"/>
      <c r="AJ110" s="8"/>
      <c r="AK110" s="8"/>
      <c r="AL110" s="8"/>
    </row>
    <row r="111" spans="1:38" x14ac:dyDescent="0.25">
      <c r="A111" s="35">
        <f t="shared" si="5"/>
        <v>0</v>
      </c>
      <c r="B111" s="6">
        <v>20</v>
      </c>
      <c r="C111" s="12">
        <v>9</v>
      </c>
      <c r="D111" s="18">
        <v>0</v>
      </c>
      <c r="E111" s="6">
        <v>0</v>
      </c>
      <c r="F111" s="6">
        <v>0</v>
      </c>
      <c r="G111" s="6">
        <v>0</v>
      </c>
      <c r="H111" s="6">
        <v>1</v>
      </c>
      <c r="I111" s="6">
        <v>0</v>
      </c>
      <c r="J111" s="12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1</v>
      </c>
      <c r="AA111" s="9">
        <v>0</v>
      </c>
      <c r="AB111" s="9">
        <v>0</v>
      </c>
      <c r="AC111" s="9">
        <v>0</v>
      </c>
      <c r="AD111" s="9">
        <v>0</v>
      </c>
      <c r="AE111" s="36">
        <v>0</v>
      </c>
    </row>
    <row r="112" spans="1:38" x14ac:dyDescent="0.25">
      <c r="A112" s="35">
        <f t="shared" si="5"/>
        <v>0</v>
      </c>
      <c r="B112" s="6">
        <v>28</v>
      </c>
      <c r="C112" s="12">
        <v>9</v>
      </c>
      <c r="D112" s="18">
        <v>0</v>
      </c>
      <c r="E112" s="6">
        <v>0</v>
      </c>
      <c r="F112" s="6">
        <v>0</v>
      </c>
      <c r="G112" s="6">
        <v>0</v>
      </c>
      <c r="H112" s="6">
        <v>1</v>
      </c>
      <c r="I112" s="6">
        <v>0</v>
      </c>
      <c r="J112" s="12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1</v>
      </c>
      <c r="AB112" s="9">
        <v>0</v>
      </c>
      <c r="AC112" s="9">
        <v>0</v>
      </c>
      <c r="AD112" s="9">
        <v>0</v>
      </c>
      <c r="AE112" s="36">
        <v>0</v>
      </c>
    </row>
    <row r="113" spans="1:31" x14ac:dyDescent="0.25">
      <c r="A113" s="35">
        <f t="shared" ref="A113:A133" si="6">IF(D113=1,B113&amp;D113&amp;"*",0)</f>
        <v>0</v>
      </c>
      <c r="B113" s="6">
        <v>38</v>
      </c>
      <c r="C113" s="12">
        <v>9</v>
      </c>
      <c r="D113" s="18">
        <v>0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12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1</v>
      </c>
      <c r="AC113" s="9">
        <v>0</v>
      </c>
      <c r="AD113" s="9">
        <v>0</v>
      </c>
      <c r="AE113" s="36">
        <v>0</v>
      </c>
    </row>
    <row r="114" spans="1:31" x14ac:dyDescent="0.25">
      <c r="A114" s="35" t="str">
        <f t="shared" si="6"/>
        <v>391*</v>
      </c>
      <c r="B114" s="6">
        <v>39</v>
      </c>
      <c r="C114" s="12">
        <v>9</v>
      </c>
      <c r="D114" s="18">
        <v>1</v>
      </c>
      <c r="E114" s="6">
        <v>0</v>
      </c>
      <c r="F114" s="6">
        <v>0</v>
      </c>
      <c r="G114" s="6">
        <v>0</v>
      </c>
      <c r="H114" s="6">
        <v>1</v>
      </c>
      <c r="I114" s="6">
        <v>0</v>
      </c>
      <c r="J114" s="12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1</v>
      </c>
      <c r="AD114" s="9">
        <v>0</v>
      </c>
      <c r="AE114" s="36">
        <v>0</v>
      </c>
    </row>
    <row r="115" spans="1:31" x14ac:dyDescent="0.25">
      <c r="A115" s="35">
        <f t="shared" si="6"/>
        <v>0</v>
      </c>
      <c r="B115" s="6">
        <v>45</v>
      </c>
      <c r="C115" s="12">
        <v>9</v>
      </c>
      <c r="D115" s="18">
        <v>0</v>
      </c>
      <c r="E115" s="6">
        <v>0</v>
      </c>
      <c r="F115" s="6">
        <v>0</v>
      </c>
      <c r="G115" s="6">
        <v>0</v>
      </c>
      <c r="H115" s="6">
        <v>1</v>
      </c>
      <c r="I115" s="6">
        <v>0</v>
      </c>
      <c r="J115" s="12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1</v>
      </c>
      <c r="AE115" s="36">
        <v>0</v>
      </c>
    </row>
    <row r="116" spans="1:31" x14ac:dyDescent="0.25">
      <c r="A116" s="37">
        <f t="shared" si="6"/>
        <v>0</v>
      </c>
      <c r="B116" s="13">
        <v>46</v>
      </c>
      <c r="C116" s="10">
        <v>9</v>
      </c>
      <c r="D116" s="18">
        <v>0</v>
      </c>
      <c r="E116" s="13">
        <v>0</v>
      </c>
      <c r="F116" s="13">
        <v>0</v>
      </c>
      <c r="G116" s="13">
        <v>0</v>
      </c>
      <c r="H116" s="13">
        <v>1</v>
      </c>
      <c r="I116" s="13">
        <v>0</v>
      </c>
      <c r="J116" s="12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38">
        <v>1</v>
      </c>
    </row>
    <row r="117" spans="1:31" s="22" customFormat="1" x14ac:dyDescent="0.25">
      <c r="A117" s="30">
        <f t="shared" si="6"/>
        <v>0</v>
      </c>
      <c r="B117" s="31">
        <v>1</v>
      </c>
      <c r="C117" s="32">
        <v>10</v>
      </c>
      <c r="D117" s="18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1</v>
      </c>
      <c r="J117" s="12">
        <v>0</v>
      </c>
      <c r="K117" s="33">
        <v>1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0</v>
      </c>
      <c r="X117" s="33">
        <v>0</v>
      </c>
      <c r="Y117" s="33">
        <v>0</v>
      </c>
      <c r="Z117" s="33">
        <v>0</v>
      </c>
      <c r="AA117" s="33">
        <v>0</v>
      </c>
      <c r="AB117" s="33">
        <v>0</v>
      </c>
      <c r="AC117" s="33">
        <v>0</v>
      </c>
      <c r="AD117" s="33">
        <v>0</v>
      </c>
      <c r="AE117" s="34">
        <v>0</v>
      </c>
    </row>
    <row r="118" spans="1:31" s="22" customFormat="1" x14ac:dyDescent="0.25">
      <c r="A118" s="35">
        <f t="shared" si="6"/>
        <v>0</v>
      </c>
      <c r="B118" s="6">
        <v>2</v>
      </c>
      <c r="C118" s="12">
        <v>10</v>
      </c>
      <c r="D118" s="18">
        <v>0</v>
      </c>
      <c r="E118" s="6">
        <v>0</v>
      </c>
      <c r="F118" s="6">
        <v>0</v>
      </c>
      <c r="G118" s="6">
        <v>0</v>
      </c>
      <c r="H118" s="6">
        <v>0</v>
      </c>
      <c r="I118" s="6">
        <v>1</v>
      </c>
      <c r="J118" s="12">
        <v>0</v>
      </c>
      <c r="K118" s="9">
        <v>0</v>
      </c>
      <c r="L118" s="9">
        <v>1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36">
        <v>0</v>
      </c>
    </row>
    <row r="119" spans="1:31" s="22" customFormat="1" x14ac:dyDescent="0.25">
      <c r="A119" s="35">
        <f t="shared" si="6"/>
        <v>0</v>
      </c>
      <c r="B119" s="6">
        <v>3</v>
      </c>
      <c r="C119" s="12">
        <v>10</v>
      </c>
      <c r="D119" s="18">
        <v>0</v>
      </c>
      <c r="E119" s="6">
        <v>0</v>
      </c>
      <c r="F119" s="6">
        <v>0</v>
      </c>
      <c r="G119" s="6">
        <v>0</v>
      </c>
      <c r="H119" s="6">
        <v>0</v>
      </c>
      <c r="I119" s="6">
        <v>1</v>
      </c>
      <c r="J119" s="12">
        <v>0</v>
      </c>
      <c r="K119" s="9">
        <v>0</v>
      </c>
      <c r="L119" s="9">
        <v>0</v>
      </c>
      <c r="M119" s="9">
        <v>1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36">
        <v>0</v>
      </c>
    </row>
    <row r="120" spans="1:31" s="22" customFormat="1" x14ac:dyDescent="0.25">
      <c r="A120" s="35">
        <f t="shared" si="6"/>
        <v>0</v>
      </c>
      <c r="B120" s="6">
        <v>4</v>
      </c>
      <c r="C120" s="12">
        <v>10</v>
      </c>
      <c r="D120" s="18">
        <v>0</v>
      </c>
      <c r="E120" s="6">
        <v>0</v>
      </c>
      <c r="F120" s="6">
        <v>0</v>
      </c>
      <c r="G120" s="6">
        <v>0</v>
      </c>
      <c r="H120" s="6">
        <v>0</v>
      </c>
      <c r="I120" s="6">
        <v>1</v>
      </c>
      <c r="J120" s="12">
        <v>0</v>
      </c>
      <c r="K120" s="9">
        <v>0</v>
      </c>
      <c r="L120" s="9">
        <v>0</v>
      </c>
      <c r="M120" s="9">
        <v>0</v>
      </c>
      <c r="N120" s="9">
        <v>1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36">
        <v>0</v>
      </c>
    </row>
    <row r="121" spans="1:31" s="22" customFormat="1" x14ac:dyDescent="0.25">
      <c r="A121" s="35">
        <f t="shared" si="6"/>
        <v>0</v>
      </c>
      <c r="B121" s="6">
        <v>5</v>
      </c>
      <c r="C121" s="12">
        <v>10</v>
      </c>
      <c r="D121" s="18">
        <v>0</v>
      </c>
      <c r="E121" s="6">
        <v>0</v>
      </c>
      <c r="F121" s="6">
        <v>0</v>
      </c>
      <c r="G121" s="6">
        <v>0</v>
      </c>
      <c r="H121" s="6">
        <v>0</v>
      </c>
      <c r="I121" s="6">
        <v>1</v>
      </c>
      <c r="J121" s="12">
        <v>0</v>
      </c>
      <c r="K121" s="9">
        <v>0</v>
      </c>
      <c r="L121" s="9">
        <v>0</v>
      </c>
      <c r="M121" s="9">
        <v>0</v>
      </c>
      <c r="N121" s="9">
        <v>0</v>
      </c>
      <c r="O121" s="9">
        <v>1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36">
        <v>0</v>
      </c>
    </row>
    <row r="122" spans="1:31" s="22" customFormat="1" x14ac:dyDescent="0.25">
      <c r="A122" s="35">
        <f t="shared" si="6"/>
        <v>0</v>
      </c>
      <c r="B122" s="6">
        <v>6</v>
      </c>
      <c r="C122" s="12">
        <v>10</v>
      </c>
      <c r="D122" s="18">
        <v>0</v>
      </c>
      <c r="E122" s="6">
        <v>0</v>
      </c>
      <c r="F122" s="6">
        <v>0</v>
      </c>
      <c r="G122" s="6">
        <v>0</v>
      </c>
      <c r="H122" s="6">
        <v>0</v>
      </c>
      <c r="I122" s="6">
        <v>1</v>
      </c>
      <c r="J122" s="12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1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36">
        <v>0</v>
      </c>
    </row>
    <row r="123" spans="1:31" s="22" customFormat="1" x14ac:dyDescent="0.25">
      <c r="A123" s="35">
        <f t="shared" si="6"/>
        <v>0</v>
      </c>
      <c r="B123" s="6">
        <v>7</v>
      </c>
      <c r="C123" s="12">
        <v>10</v>
      </c>
      <c r="D123" s="18">
        <v>0</v>
      </c>
      <c r="E123" s="6">
        <v>0</v>
      </c>
      <c r="F123" s="6">
        <v>0</v>
      </c>
      <c r="G123" s="6">
        <v>0</v>
      </c>
      <c r="H123" s="6">
        <v>0</v>
      </c>
      <c r="I123" s="6">
        <v>1</v>
      </c>
      <c r="J123" s="12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1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36">
        <v>0</v>
      </c>
    </row>
    <row r="124" spans="1:31" s="22" customFormat="1" x14ac:dyDescent="0.25">
      <c r="A124" s="35">
        <f t="shared" si="6"/>
        <v>0</v>
      </c>
      <c r="B124" s="6">
        <v>8</v>
      </c>
      <c r="C124" s="12">
        <v>10</v>
      </c>
      <c r="D124" s="18">
        <v>0</v>
      </c>
      <c r="E124" s="6">
        <v>0</v>
      </c>
      <c r="F124" s="6">
        <v>0</v>
      </c>
      <c r="G124" s="6">
        <v>0</v>
      </c>
      <c r="H124" s="6">
        <v>0</v>
      </c>
      <c r="I124" s="6">
        <v>1</v>
      </c>
      <c r="J124" s="12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1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36">
        <v>0</v>
      </c>
    </row>
    <row r="125" spans="1:31" s="22" customFormat="1" x14ac:dyDescent="0.25">
      <c r="A125" s="35">
        <f t="shared" si="6"/>
        <v>0</v>
      </c>
      <c r="B125" s="6">
        <v>9</v>
      </c>
      <c r="C125" s="12">
        <v>10</v>
      </c>
      <c r="D125" s="18">
        <v>0</v>
      </c>
      <c r="E125" s="6">
        <v>0</v>
      </c>
      <c r="F125" s="6">
        <v>0</v>
      </c>
      <c r="G125" s="6">
        <v>0</v>
      </c>
      <c r="H125" s="6">
        <v>0</v>
      </c>
      <c r="I125" s="6">
        <v>1</v>
      </c>
      <c r="J125" s="12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1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36">
        <v>0</v>
      </c>
    </row>
    <row r="126" spans="1:31" s="22" customFormat="1" x14ac:dyDescent="0.25">
      <c r="A126" s="35">
        <f t="shared" si="6"/>
        <v>0</v>
      </c>
      <c r="B126" s="6">
        <v>10</v>
      </c>
      <c r="C126" s="12">
        <v>10</v>
      </c>
      <c r="D126" s="18">
        <v>0</v>
      </c>
      <c r="E126" s="6">
        <v>0</v>
      </c>
      <c r="F126" s="6">
        <v>0</v>
      </c>
      <c r="G126" s="6">
        <v>0</v>
      </c>
      <c r="H126" s="6">
        <v>0</v>
      </c>
      <c r="I126" s="6">
        <v>1</v>
      </c>
      <c r="J126" s="12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1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36">
        <v>0</v>
      </c>
    </row>
    <row r="127" spans="1:31" s="22" customFormat="1" x14ac:dyDescent="0.25">
      <c r="A127" s="35">
        <f t="shared" si="6"/>
        <v>0</v>
      </c>
      <c r="B127" s="6">
        <v>11</v>
      </c>
      <c r="C127" s="12">
        <v>10</v>
      </c>
      <c r="D127" s="18">
        <v>0</v>
      </c>
      <c r="E127" s="6">
        <v>0</v>
      </c>
      <c r="F127" s="6">
        <v>0</v>
      </c>
      <c r="G127" s="6">
        <v>0</v>
      </c>
      <c r="H127" s="6">
        <v>0</v>
      </c>
      <c r="I127" s="6">
        <v>1</v>
      </c>
      <c r="J127" s="12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1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36">
        <v>0</v>
      </c>
    </row>
    <row r="128" spans="1:31" s="22" customFormat="1" x14ac:dyDescent="0.25">
      <c r="A128" s="35">
        <f t="shared" si="6"/>
        <v>0</v>
      </c>
      <c r="B128" s="6">
        <v>12</v>
      </c>
      <c r="C128" s="12">
        <v>10</v>
      </c>
      <c r="D128" s="18">
        <v>0</v>
      </c>
      <c r="E128" s="6">
        <v>0</v>
      </c>
      <c r="F128" s="6">
        <v>0</v>
      </c>
      <c r="G128" s="6">
        <v>0</v>
      </c>
      <c r="H128" s="6">
        <v>0</v>
      </c>
      <c r="I128" s="6">
        <v>1</v>
      </c>
      <c r="J128" s="12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1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36">
        <v>0</v>
      </c>
    </row>
    <row r="129" spans="1:31" s="22" customFormat="1" x14ac:dyDescent="0.25">
      <c r="A129" s="35">
        <f t="shared" si="6"/>
        <v>0</v>
      </c>
      <c r="B129" s="6">
        <v>13</v>
      </c>
      <c r="C129" s="12">
        <v>10</v>
      </c>
      <c r="D129" s="18">
        <v>0</v>
      </c>
      <c r="E129" s="6">
        <v>0</v>
      </c>
      <c r="F129" s="6">
        <v>0</v>
      </c>
      <c r="G129" s="6">
        <v>0</v>
      </c>
      <c r="H129" s="6">
        <v>0</v>
      </c>
      <c r="I129" s="6">
        <v>1</v>
      </c>
      <c r="J129" s="12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1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36">
        <v>0</v>
      </c>
    </row>
    <row r="130" spans="1:31" s="22" customFormat="1" x14ac:dyDescent="0.25">
      <c r="A130" s="35">
        <f t="shared" si="6"/>
        <v>0</v>
      </c>
      <c r="B130" s="6">
        <v>14</v>
      </c>
      <c r="C130" s="12">
        <v>10</v>
      </c>
      <c r="D130" s="18">
        <v>0</v>
      </c>
      <c r="E130" s="6">
        <v>0</v>
      </c>
      <c r="F130" s="6">
        <v>0</v>
      </c>
      <c r="G130" s="6">
        <v>0</v>
      </c>
      <c r="H130" s="6">
        <v>0</v>
      </c>
      <c r="I130" s="6">
        <v>1</v>
      </c>
      <c r="J130" s="12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1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36">
        <v>0</v>
      </c>
    </row>
    <row r="131" spans="1:31" s="22" customFormat="1" x14ac:dyDescent="0.25">
      <c r="A131" s="35">
        <f t="shared" si="6"/>
        <v>0</v>
      </c>
      <c r="B131" s="6">
        <v>15</v>
      </c>
      <c r="C131" s="12">
        <v>10</v>
      </c>
      <c r="D131" s="18">
        <v>0</v>
      </c>
      <c r="E131" s="6">
        <v>0</v>
      </c>
      <c r="F131" s="6">
        <v>0</v>
      </c>
      <c r="G131" s="6">
        <v>0</v>
      </c>
      <c r="H131" s="6">
        <v>0</v>
      </c>
      <c r="I131" s="6">
        <v>1</v>
      </c>
      <c r="J131" s="12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1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36">
        <v>0</v>
      </c>
    </row>
    <row r="132" spans="1:31" s="22" customFormat="1" x14ac:dyDescent="0.25">
      <c r="A132" s="35">
        <f t="shared" si="6"/>
        <v>0</v>
      </c>
      <c r="B132" s="6">
        <v>20</v>
      </c>
      <c r="C132" s="12">
        <v>10</v>
      </c>
      <c r="D132" s="18">
        <v>0</v>
      </c>
      <c r="E132" s="6">
        <v>0</v>
      </c>
      <c r="F132" s="6">
        <v>0</v>
      </c>
      <c r="G132" s="6">
        <v>0</v>
      </c>
      <c r="H132" s="6">
        <v>0</v>
      </c>
      <c r="I132" s="6">
        <v>1</v>
      </c>
      <c r="J132" s="12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1</v>
      </c>
      <c r="AA132" s="9">
        <v>0</v>
      </c>
      <c r="AB132" s="9">
        <v>0</v>
      </c>
      <c r="AC132" s="9">
        <v>0</v>
      </c>
      <c r="AD132" s="9">
        <v>0</v>
      </c>
      <c r="AE132" s="36">
        <v>0</v>
      </c>
    </row>
    <row r="133" spans="1:31" s="22" customFormat="1" x14ac:dyDescent="0.25">
      <c r="A133" s="35">
        <f t="shared" si="6"/>
        <v>0</v>
      </c>
      <c r="B133" s="6">
        <v>28</v>
      </c>
      <c r="C133" s="12">
        <v>10</v>
      </c>
      <c r="D133" s="18">
        <v>0</v>
      </c>
      <c r="E133" s="6">
        <v>0</v>
      </c>
      <c r="F133" s="6">
        <v>0</v>
      </c>
      <c r="G133" s="6">
        <v>0</v>
      </c>
      <c r="H133" s="6">
        <v>0</v>
      </c>
      <c r="I133" s="6">
        <v>1</v>
      </c>
      <c r="J133" s="12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1</v>
      </c>
      <c r="AB133" s="9">
        <v>0</v>
      </c>
      <c r="AC133" s="9">
        <v>0</v>
      </c>
      <c r="AD133" s="9">
        <v>0</v>
      </c>
      <c r="AE133" s="36">
        <v>0</v>
      </c>
    </row>
    <row r="134" spans="1:31" s="22" customFormat="1" x14ac:dyDescent="0.25">
      <c r="A134" s="35">
        <f t="shared" ref="A134:A158" si="7">IF(D134=1,B134&amp;D134&amp;"*",0)</f>
        <v>0</v>
      </c>
      <c r="B134" s="6">
        <v>38</v>
      </c>
      <c r="C134" s="12">
        <v>10</v>
      </c>
      <c r="D134" s="18">
        <v>0</v>
      </c>
      <c r="E134" s="6">
        <v>0</v>
      </c>
      <c r="F134" s="6">
        <v>0</v>
      </c>
      <c r="G134" s="6">
        <v>0</v>
      </c>
      <c r="H134" s="6">
        <v>0</v>
      </c>
      <c r="I134" s="6">
        <v>1</v>
      </c>
      <c r="J134" s="12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1</v>
      </c>
      <c r="AC134" s="9">
        <v>0</v>
      </c>
      <c r="AD134" s="9">
        <v>0</v>
      </c>
      <c r="AE134" s="36">
        <v>0</v>
      </c>
    </row>
    <row r="135" spans="1:31" s="22" customFormat="1" x14ac:dyDescent="0.25">
      <c r="A135" s="35">
        <f t="shared" si="7"/>
        <v>0</v>
      </c>
      <c r="B135" s="6">
        <v>39</v>
      </c>
      <c r="C135" s="12">
        <v>10</v>
      </c>
      <c r="D135" s="18">
        <v>0</v>
      </c>
      <c r="E135" s="6">
        <v>0</v>
      </c>
      <c r="F135" s="6">
        <v>0</v>
      </c>
      <c r="G135" s="6">
        <v>0</v>
      </c>
      <c r="H135" s="6">
        <v>0</v>
      </c>
      <c r="I135" s="6">
        <v>1</v>
      </c>
      <c r="J135" s="12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9">
        <v>1</v>
      </c>
      <c r="AD135" s="9">
        <v>0</v>
      </c>
      <c r="AE135" s="36">
        <v>0</v>
      </c>
    </row>
    <row r="136" spans="1:31" s="22" customFormat="1" x14ac:dyDescent="0.25">
      <c r="A136" s="35">
        <f t="shared" si="7"/>
        <v>0</v>
      </c>
      <c r="B136" s="6">
        <v>45</v>
      </c>
      <c r="C136" s="12">
        <v>10</v>
      </c>
      <c r="D136" s="18">
        <v>0</v>
      </c>
      <c r="E136" s="6">
        <v>0</v>
      </c>
      <c r="F136" s="6">
        <v>0</v>
      </c>
      <c r="G136" s="6">
        <v>0</v>
      </c>
      <c r="H136" s="6">
        <v>0</v>
      </c>
      <c r="I136" s="6">
        <v>1</v>
      </c>
      <c r="J136" s="12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1</v>
      </c>
      <c r="AE136" s="36">
        <v>0</v>
      </c>
    </row>
    <row r="137" spans="1:31" s="22" customFormat="1" x14ac:dyDescent="0.25">
      <c r="A137" s="37">
        <f t="shared" si="7"/>
        <v>0</v>
      </c>
      <c r="B137" s="13">
        <v>46</v>
      </c>
      <c r="C137" s="12">
        <v>10</v>
      </c>
      <c r="D137" s="18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1</v>
      </c>
      <c r="J137" s="12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38">
        <v>1</v>
      </c>
    </row>
    <row r="138" spans="1:31" s="22" customFormat="1" x14ac:dyDescent="0.25">
      <c r="A138" s="37">
        <f t="shared" si="7"/>
        <v>0</v>
      </c>
      <c r="B138" s="31">
        <v>1</v>
      </c>
      <c r="C138" s="32">
        <v>47</v>
      </c>
      <c r="D138" s="18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31">
        <v>1</v>
      </c>
      <c r="K138" s="33">
        <v>1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3">
        <v>0</v>
      </c>
      <c r="S138" s="33">
        <v>0</v>
      </c>
      <c r="T138" s="33">
        <v>0</v>
      </c>
      <c r="U138" s="33">
        <v>0</v>
      </c>
      <c r="V138" s="33">
        <v>0</v>
      </c>
      <c r="W138" s="33">
        <v>0</v>
      </c>
      <c r="X138" s="33">
        <v>0</v>
      </c>
      <c r="Y138" s="33">
        <v>0</v>
      </c>
      <c r="Z138" s="33">
        <v>0</v>
      </c>
      <c r="AA138" s="33">
        <v>0</v>
      </c>
      <c r="AB138" s="33">
        <v>0</v>
      </c>
      <c r="AC138" s="33">
        <v>0</v>
      </c>
      <c r="AD138" s="33">
        <v>0</v>
      </c>
      <c r="AE138" s="34">
        <v>0</v>
      </c>
    </row>
    <row r="139" spans="1:31" s="22" customFormat="1" x14ac:dyDescent="0.25">
      <c r="A139" s="37">
        <f t="shared" si="7"/>
        <v>0</v>
      </c>
      <c r="B139" s="6">
        <v>2</v>
      </c>
      <c r="C139" s="32">
        <v>47</v>
      </c>
      <c r="D139" s="18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6">
        <v>1</v>
      </c>
      <c r="K139" s="9">
        <v>0</v>
      </c>
      <c r="L139" s="9">
        <v>1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36">
        <v>0</v>
      </c>
    </row>
    <row r="140" spans="1:31" s="22" customFormat="1" x14ac:dyDescent="0.25">
      <c r="A140" s="37">
        <f t="shared" si="7"/>
        <v>0</v>
      </c>
      <c r="B140" s="6">
        <v>3</v>
      </c>
      <c r="C140" s="32">
        <v>47</v>
      </c>
      <c r="D140" s="18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6">
        <v>1</v>
      </c>
      <c r="K140" s="9">
        <v>0</v>
      </c>
      <c r="L140" s="9">
        <v>0</v>
      </c>
      <c r="M140" s="9">
        <v>1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36">
        <v>0</v>
      </c>
    </row>
    <row r="141" spans="1:31" s="22" customFormat="1" x14ac:dyDescent="0.25">
      <c r="A141" s="37">
        <f t="shared" si="7"/>
        <v>0</v>
      </c>
      <c r="B141" s="6">
        <v>4</v>
      </c>
      <c r="C141" s="32">
        <v>47</v>
      </c>
      <c r="D141" s="18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6">
        <v>1</v>
      </c>
      <c r="K141" s="9">
        <v>0</v>
      </c>
      <c r="L141" s="9">
        <v>0</v>
      </c>
      <c r="M141" s="9">
        <v>0</v>
      </c>
      <c r="N141" s="9">
        <v>1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36">
        <v>0</v>
      </c>
    </row>
    <row r="142" spans="1:31" s="22" customFormat="1" x14ac:dyDescent="0.25">
      <c r="A142" s="37">
        <f t="shared" si="7"/>
        <v>0</v>
      </c>
      <c r="B142" s="6">
        <v>5</v>
      </c>
      <c r="C142" s="32">
        <v>47</v>
      </c>
      <c r="D142" s="18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6">
        <v>1</v>
      </c>
      <c r="K142" s="9">
        <v>0</v>
      </c>
      <c r="L142" s="9">
        <v>0</v>
      </c>
      <c r="M142" s="9">
        <v>0</v>
      </c>
      <c r="N142" s="9">
        <v>0</v>
      </c>
      <c r="O142" s="9">
        <v>1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36">
        <v>0</v>
      </c>
    </row>
    <row r="143" spans="1:31" s="22" customFormat="1" x14ac:dyDescent="0.25">
      <c r="A143" s="37">
        <f t="shared" si="7"/>
        <v>0</v>
      </c>
      <c r="B143" s="6">
        <v>6</v>
      </c>
      <c r="C143" s="32">
        <v>47</v>
      </c>
      <c r="D143" s="18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6">
        <v>1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1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36">
        <v>0</v>
      </c>
    </row>
    <row r="144" spans="1:31" s="22" customFormat="1" x14ac:dyDescent="0.25">
      <c r="A144" s="37">
        <f t="shared" si="7"/>
        <v>0</v>
      </c>
      <c r="B144" s="6">
        <v>7</v>
      </c>
      <c r="C144" s="32">
        <v>47</v>
      </c>
      <c r="D144" s="18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6">
        <v>1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1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36">
        <v>0</v>
      </c>
    </row>
    <row r="145" spans="1:31" s="22" customFormat="1" x14ac:dyDescent="0.25">
      <c r="A145" s="37">
        <f t="shared" si="7"/>
        <v>0</v>
      </c>
      <c r="B145" s="6">
        <v>8</v>
      </c>
      <c r="C145" s="32">
        <v>47</v>
      </c>
      <c r="D145" s="18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6">
        <v>1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1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36">
        <v>0</v>
      </c>
    </row>
    <row r="146" spans="1:31" s="22" customFormat="1" x14ac:dyDescent="0.25">
      <c r="A146" s="37">
        <f t="shared" si="7"/>
        <v>0</v>
      </c>
      <c r="B146" s="6">
        <v>9</v>
      </c>
      <c r="C146" s="32">
        <v>47</v>
      </c>
      <c r="D146" s="18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6">
        <v>1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1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36">
        <v>0</v>
      </c>
    </row>
    <row r="147" spans="1:31" s="22" customFormat="1" x14ac:dyDescent="0.25">
      <c r="A147" s="37">
        <f t="shared" si="7"/>
        <v>0</v>
      </c>
      <c r="B147" s="6">
        <v>10</v>
      </c>
      <c r="C147" s="32">
        <v>47</v>
      </c>
      <c r="D147" s="18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6">
        <v>1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1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36">
        <v>0</v>
      </c>
    </row>
    <row r="148" spans="1:31" s="22" customFormat="1" x14ac:dyDescent="0.25">
      <c r="A148" s="37">
        <f t="shared" si="7"/>
        <v>0</v>
      </c>
      <c r="B148" s="6">
        <v>11</v>
      </c>
      <c r="C148" s="32">
        <v>47</v>
      </c>
      <c r="D148" s="18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6">
        <v>1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1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36">
        <v>0</v>
      </c>
    </row>
    <row r="149" spans="1:31" s="22" customFormat="1" x14ac:dyDescent="0.25">
      <c r="A149" s="37">
        <f t="shared" si="7"/>
        <v>0</v>
      </c>
      <c r="B149" s="6">
        <v>12</v>
      </c>
      <c r="C149" s="32">
        <v>47</v>
      </c>
      <c r="D149" s="18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6">
        <v>1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1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36">
        <v>0</v>
      </c>
    </row>
    <row r="150" spans="1:31" s="22" customFormat="1" x14ac:dyDescent="0.25">
      <c r="A150" s="37">
        <f t="shared" si="7"/>
        <v>0</v>
      </c>
      <c r="B150" s="6">
        <v>13</v>
      </c>
      <c r="C150" s="32">
        <v>47</v>
      </c>
      <c r="D150" s="18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6">
        <v>1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1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36">
        <v>0</v>
      </c>
    </row>
    <row r="151" spans="1:31" s="22" customFormat="1" x14ac:dyDescent="0.25">
      <c r="A151" s="37">
        <f t="shared" si="7"/>
        <v>0</v>
      </c>
      <c r="B151" s="6">
        <v>14</v>
      </c>
      <c r="C151" s="32">
        <v>47</v>
      </c>
      <c r="D151" s="18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6">
        <v>1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1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36">
        <v>0</v>
      </c>
    </row>
    <row r="152" spans="1:31" s="22" customFormat="1" x14ac:dyDescent="0.25">
      <c r="A152" s="37">
        <f t="shared" si="7"/>
        <v>0</v>
      </c>
      <c r="B152" s="6">
        <v>15</v>
      </c>
      <c r="C152" s="32">
        <v>47</v>
      </c>
      <c r="D152" s="18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6">
        <v>1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1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36">
        <v>0</v>
      </c>
    </row>
    <row r="153" spans="1:31" s="22" customFormat="1" x14ac:dyDescent="0.25">
      <c r="A153" s="37">
        <f t="shared" si="7"/>
        <v>0</v>
      </c>
      <c r="B153" s="6">
        <v>20</v>
      </c>
      <c r="C153" s="32">
        <v>47</v>
      </c>
      <c r="D153" s="18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6">
        <v>1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1</v>
      </c>
      <c r="AA153" s="9">
        <v>0</v>
      </c>
      <c r="AB153" s="9">
        <v>0</v>
      </c>
      <c r="AC153" s="9">
        <v>0</v>
      </c>
      <c r="AD153" s="9">
        <v>0</v>
      </c>
      <c r="AE153" s="36">
        <v>0</v>
      </c>
    </row>
    <row r="154" spans="1:31" s="22" customFormat="1" x14ac:dyDescent="0.25">
      <c r="A154" s="37">
        <f t="shared" si="7"/>
        <v>0</v>
      </c>
      <c r="B154" s="6">
        <v>28</v>
      </c>
      <c r="C154" s="32">
        <v>47</v>
      </c>
      <c r="D154" s="18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6">
        <v>1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1</v>
      </c>
      <c r="AB154" s="9">
        <v>0</v>
      </c>
      <c r="AC154" s="9">
        <v>0</v>
      </c>
      <c r="AD154" s="9">
        <v>0</v>
      </c>
      <c r="AE154" s="36">
        <v>0</v>
      </c>
    </row>
    <row r="155" spans="1:31" s="22" customFormat="1" x14ac:dyDescent="0.25">
      <c r="A155" s="37">
        <f t="shared" si="7"/>
        <v>0</v>
      </c>
      <c r="B155" s="6">
        <v>38</v>
      </c>
      <c r="C155" s="32">
        <v>47</v>
      </c>
      <c r="D155" s="18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6">
        <v>1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1</v>
      </c>
      <c r="AC155" s="9">
        <v>0</v>
      </c>
      <c r="AD155" s="9">
        <v>0</v>
      </c>
      <c r="AE155" s="36">
        <v>0</v>
      </c>
    </row>
    <row r="156" spans="1:31" s="22" customFormat="1" x14ac:dyDescent="0.25">
      <c r="A156" s="37">
        <f t="shared" si="7"/>
        <v>0</v>
      </c>
      <c r="B156" s="6">
        <v>39</v>
      </c>
      <c r="C156" s="32">
        <v>47</v>
      </c>
      <c r="D156" s="18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6">
        <v>1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1</v>
      </c>
      <c r="AD156" s="9">
        <v>0</v>
      </c>
      <c r="AE156" s="36">
        <v>0</v>
      </c>
    </row>
    <row r="157" spans="1:31" s="22" customFormat="1" x14ac:dyDescent="0.25">
      <c r="A157" s="37">
        <f>IF(D157=1,B157&amp;D157&amp;"*",0)</f>
        <v>0</v>
      </c>
      <c r="B157" s="6">
        <v>45</v>
      </c>
      <c r="C157" s="32">
        <v>47</v>
      </c>
      <c r="D157" s="18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6">
        <v>1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1</v>
      </c>
      <c r="AE157" s="36">
        <v>0</v>
      </c>
    </row>
    <row r="158" spans="1:31" s="22" customFormat="1" x14ac:dyDescent="0.25">
      <c r="A158" s="37">
        <f t="shared" si="7"/>
        <v>0</v>
      </c>
      <c r="B158" s="13">
        <v>46</v>
      </c>
      <c r="C158" s="32">
        <v>47</v>
      </c>
      <c r="D158" s="18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13">
        <v>1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  <c r="AE158" s="38">
        <v>1</v>
      </c>
    </row>
    <row r="159" spans="1:31" s="22" customFormat="1" x14ac:dyDescent="0.25">
      <c r="A159"/>
      <c r="B159"/>
      <c r="C159"/>
      <c r="D159"/>
      <c r="E159" s="9"/>
      <c r="F159" s="9"/>
      <c r="G159" s="9"/>
      <c r="H159" s="9"/>
      <c r="I159" s="9"/>
      <c r="J159" s="6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s="22" customFormat="1" x14ac:dyDescent="0.25">
      <c r="A160"/>
      <c r="B160"/>
      <c r="C160"/>
      <c r="D160"/>
      <c r="E160" s="71" t="s">
        <v>167</v>
      </c>
      <c r="F160" s="71"/>
      <c r="G160" s="71"/>
      <c r="H160" s="71"/>
      <c r="I160" s="71"/>
      <c r="J160" s="44"/>
      <c r="K160" s="71" t="s">
        <v>168</v>
      </c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</row>
    <row r="161" spans="1:31" x14ac:dyDescent="0.25">
      <c r="A161" s="22"/>
      <c r="E161" s="13">
        <v>2</v>
      </c>
      <c r="F161" s="13">
        <v>4</v>
      </c>
      <c r="G161" s="13">
        <v>6</v>
      </c>
      <c r="H161" s="13">
        <v>9</v>
      </c>
      <c r="I161" s="13">
        <v>10</v>
      </c>
      <c r="J161" s="10">
        <v>47</v>
      </c>
      <c r="K161" s="8">
        <v>1</v>
      </c>
      <c r="L161" s="8">
        <v>2</v>
      </c>
      <c r="M161" s="8">
        <v>3</v>
      </c>
      <c r="N161" s="8">
        <v>4</v>
      </c>
      <c r="O161" s="8">
        <v>5</v>
      </c>
      <c r="P161" s="8">
        <v>6</v>
      </c>
      <c r="Q161" s="8">
        <v>7</v>
      </c>
      <c r="R161" s="8">
        <v>8</v>
      </c>
      <c r="S161" s="8">
        <v>9</v>
      </c>
      <c r="T161" s="8">
        <v>10</v>
      </c>
      <c r="U161" s="8">
        <v>11</v>
      </c>
      <c r="V161" s="8">
        <v>12</v>
      </c>
      <c r="W161" s="8">
        <v>13</v>
      </c>
      <c r="X161" s="8">
        <v>14</v>
      </c>
      <c r="Y161" s="8">
        <v>15</v>
      </c>
      <c r="Z161" s="8">
        <v>20</v>
      </c>
      <c r="AA161" s="8">
        <v>28</v>
      </c>
      <c r="AB161" s="8">
        <v>38</v>
      </c>
      <c r="AC161" s="8">
        <v>39</v>
      </c>
      <c r="AD161" s="8">
        <v>45</v>
      </c>
      <c r="AE161" s="8">
        <v>46</v>
      </c>
    </row>
    <row r="162" spans="1:31" x14ac:dyDescent="0.25">
      <c r="A162" s="22"/>
      <c r="B162" t="s">
        <v>185</v>
      </c>
      <c r="D162" s="18">
        <f>SUM(D33:D158)</f>
        <v>7</v>
      </c>
      <c r="E162" s="14">
        <f t="shared" ref="E162:I162" si="8">SUMPRODUCT($D$33:$D$158,E33:E158)</f>
        <v>2</v>
      </c>
      <c r="F162" s="14">
        <f t="shared" si="8"/>
        <v>2</v>
      </c>
      <c r="G162" s="14">
        <f t="shared" si="8"/>
        <v>2</v>
      </c>
      <c r="H162" s="14">
        <f t="shared" si="8"/>
        <v>1</v>
      </c>
      <c r="I162" s="14">
        <f t="shared" si="8"/>
        <v>0</v>
      </c>
      <c r="J162" s="14">
        <f>SUMPRODUCT($D$33:$D$158,J33:J158)</f>
        <v>0</v>
      </c>
      <c r="K162" s="14">
        <f>SUMPRODUCT($D$33:$D$158,K33:K158)</f>
        <v>0</v>
      </c>
      <c r="L162" s="14">
        <f t="shared" ref="L162:AE162" si="9">SUMPRODUCT($D$33:$D$158,L33:L158)</f>
        <v>0</v>
      </c>
      <c r="M162" s="14">
        <f t="shared" si="9"/>
        <v>0</v>
      </c>
      <c r="N162" s="14">
        <f t="shared" si="9"/>
        <v>0</v>
      </c>
      <c r="O162" s="14">
        <f t="shared" si="9"/>
        <v>0</v>
      </c>
      <c r="P162" s="14">
        <f t="shared" si="9"/>
        <v>1</v>
      </c>
      <c r="Q162" s="14">
        <f t="shared" si="9"/>
        <v>0</v>
      </c>
      <c r="R162" s="14">
        <f t="shared" si="9"/>
        <v>0</v>
      </c>
      <c r="S162" s="14">
        <f t="shared" si="9"/>
        <v>0</v>
      </c>
      <c r="T162" s="14">
        <f t="shared" si="9"/>
        <v>0</v>
      </c>
      <c r="U162" s="14">
        <f t="shared" si="9"/>
        <v>0</v>
      </c>
      <c r="V162" s="14">
        <f t="shared" si="9"/>
        <v>0</v>
      </c>
      <c r="W162" s="14">
        <f t="shared" si="9"/>
        <v>0</v>
      </c>
      <c r="X162" s="14">
        <f t="shared" si="9"/>
        <v>0</v>
      </c>
      <c r="Y162" s="14">
        <f t="shared" si="9"/>
        <v>0</v>
      </c>
      <c r="Z162" s="14">
        <f t="shared" si="9"/>
        <v>1</v>
      </c>
      <c r="AA162" s="14">
        <f t="shared" si="9"/>
        <v>1</v>
      </c>
      <c r="AB162" s="14">
        <f t="shared" si="9"/>
        <v>1</v>
      </c>
      <c r="AC162" s="14">
        <f t="shared" si="9"/>
        <v>1</v>
      </c>
      <c r="AD162" s="14">
        <f t="shared" si="9"/>
        <v>1</v>
      </c>
      <c r="AE162" s="14">
        <f t="shared" si="9"/>
        <v>1</v>
      </c>
    </row>
    <row r="163" spans="1:31" x14ac:dyDescent="0.25">
      <c r="B163" t="s">
        <v>186</v>
      </c>
      <c r="D163" s="11">
        <v>21</v>
      </c>
      <c r="E163" s="11">
        <v>2</v>
      </c>
      <c r="F163" s="11">
        <v>2</v>
      </c>
      <c r="G163" s="11">
        <v>2</v>
      </c>
      <c r="H163" s="11">
        <v>2</v>
      </c>
      <c r="I163" s="20">
        <v>2</v>
      </c>
      <c r="J163" s="20">
        <v>12</v>
      </c>
      <c r="K163" s="20">
        <v>1</v>
      </c>
      <c r="L163" s="20">
        <v>1</v>
      </c>
      <c r="M163" s="20">
        <v>1</v>
      </c>
      <c r="N163" s="20">
        <v>1</v>
      </c>
      <c r="O163" s="20">
        <v>1</v>
      </c>
      <c r="P163" s="20">
        <v>1</v>
      </c>
      <c r="Q163" s="20">
        <v>1</v>
      </c>
      <c r="R163" s="20">
        <v>1</v>
      </c>
      <c r="S163" s="20">
        <v>1</v>
      </c>
      <c r="T163" s="20">
        <v>1</v>
      </c>
      <c r="U163" s="20">
        <v>1</v>
      </c>
      <c r="V163" s="20">
        <v>1</v>
      </c>
      <c r="W163" s="20">
        <v>1</v>
      </c>
      <c r="X163" s="20">
        <v>1</v>
      </c>
      <c r="Y163" s="20">
        <v>1</v>
      </c>
      <c r="Z163" s="20">
        <v>1</v>
      </c>
      <c r="AA163" s="20">
        <v>1</v>
      </c>
      <c r="AB163" s="20">
        <v>1</v>
      </c>
      <c r="AC163" s="20">
        <v>1</v>
      </c>
      <c r="AD163" s="20">
        <v>1</v>
      </c>
      <c r="AE163" s="20">
        <v>1</v>
      </c>
    </row>
    <row r="164" spans="1:31" x14ac:dyDescent="0.25">
      <c r="D164" s="22"/>
    </row>
    <row r="165" spans="1:31" x14ac:dyDescent="0.25">
      <c r="A165" t="s">
        <v>258</v>
      </c>
      <c r="B165" t="s">
        <v>254</v>
      </c>
      <c r="D165" s="22"/>
    </row>
    <row r="166" spans="1:31" x14ac:dyDescent="0.25">
      <c r="A166" s="22" t="s">
        <v>224</v>
      </c>
      <c r="B166" s="40">
        <f>IF($B$165="Most Likely",'Huc-12 Selection Results'!E34,IF($B$165="Uncertainty Low",'Huc-12 Selection Results'!F34,IF($B$165="Uncertainty High",'Huc-12 Selection Results'!G34,'Huc-12 Selection Results'!H34)))</f>
        <v>8.3388778000000006</v>
      </c>
      <c r="C166" s="24">
        <f>(B166-'Objective Weights'!B3)/('Objective Weights'!C3-'Objective Weights'!B3)</f>
        <v>6.2810327058823542E-2</v>
      </c>
      <c r="D166" s="22">
        <f>C166*'Objective Weights'!D$31</f>
        <v>2.1141036912482067</v>
      </c>
    </row>
    <row r="167" spans="1:31" x14ac:dyDescent="0.25">
      <c r="A167" s="22" t="s">
        <v>179</v>
      </c>
      <c r="B167" s="40">
        <f>IF($B$165="Most Likely",'Huc-12 Selection Results'!E35,IF($B$165="Uncertainty Low",'Huc-12 Selection Results'!F35,IF($B$165="Uncertainty High",'Huc-12 Selection Results'!G35,'Huc-12 Selection Results'!H35)))</f>
        <v>22</v>
      </c>
      <c r="C167" s="24">
        <f>(B167-'Objective Weights'!B4)/('Objective Weights'!C4-'Objective Weights'!B4)</f>
        <v>1.0769230769230769</v>
      </c>
      <c r="D167" s="22">
        <f>C167*'Objective Weights'!E$31</f>
        <v>32.198248905565976</v>
      </c>
    </row>
    <row r="168" spans="1:31" x14ac:dyDescent="0.25">
      <c r="A168" s="22" t="s">
        <v>180</v>
      </c>
      <c r="B168" s="40">
        <f>IF($B$165="Most Likely",'Huc-12 Selection Results'!E36,IF($B$165="Uncertainty Low",'Huc-12 Selection Results'!F36,IF($B$165="Uncertainty High",'Huc-12 Selection Results'!G36,'Huc-12 Selection Results'!H36)))</f>
        <v>3</v>
      </c>
      <c r="C168" s="24">
        <f>(B168-'Objective Weights'!B5)/('Objective Weights'!C5-'Objective Weights'!B5)</f>
        <v>1</v>
      </c>
      <c r="D168" s="22">
        <f>C168*'Objective Weights'!F$31</f>
        <v>14.085365853658537</v>
      </c>
    </row>
    <row r="169" spans="1:31" x14ac:dyDescent="0.25">
      <c r="A169" s="22" t="s">
        <v>181</v>
      </c>
      <c r="B169" s="40">
        <f>IF($B$165="Most Likely",'Huc-12 Selection Results'!E37,IF($B$165="Uncertainty Low",'Huc-12 Selection Results'!F37,IF($B$165="Uncertainty High",'Huc-12 Selection Results'!G37,'Huc-12 Selection Results'!H37)))</f>
        <v>2.25</v>
      </c>
      <c r="C169" s="24">
        <f>1-((B169-'Objective Weights'!C8)/('Objective Weights'!B8-'Objective Weights'!C8))</f>
        <v>0.79545454545454541</v>
      </c>
      <c r="D169" s="22">
        <f>C169*'Objective Weights'!G$31</f>
        <v>8.9747320768662213</v>
      </c>
    </row>
    <row r="170" spans="1:31" x14ac:dyDescent="0.25">
      <c r="A170" s="22" t="s">
        <v>222</v>
      </c>
      <c r="B170" s="40">
        <f>IF($B$165="Most Likely",'Huc-12 Selection Results'!E38,IF($B$165="Uncertainty Low",'Huc-12 Selection Results'!F38,IF($B$165="Uncertainty High",'Huc-12 Selection Results'!G38,'Huc-12 Selection Results'!H38)))</f>
        <v>2.25</v>
      </c>
      <c r="C170" s="24">
        <f>1-((B170-'Objective Weights'!C9)/('Objective Weights'!B9-'Objective Weights'!C9))</f>
        <v>0.88749999999999996</v>
      </c>
      <c r="D170" s="22">
        <f>C170*'Objective Weights'!H$31</f>
        <v>4.2859756097560968</v>
      </c>
    </row>
    <row r="171" spans="1:31" x14ac:dyDescent="0.25">
      <c r="A171" s="22" t="s">
        <v>182</v>
      </c>
      <c r="B171" s="40">
        <f>IF($B$165="Most Likely",'Huc-12 Selection Results'!E39,IF($B$165="Uncertainty Low",'Huc-12 Selection Results'!F39,IF($B$165="Uncertainty High",'Huc-12 Selection Results'!G39,'Huc-12 Selection Results'!H39)))</f>
        <v>10</v>
      </c>
      <c r="C171" s="24">
        <f>1-((B171-'Objective Weights'!C10)/('Objective Weights'!B10-'Objective Weights'!C10))</f>
        <v>9.0909090909090939E-2</v>
      </c>
      <c r="D171" s="22">
        <f>C171*'Objective Weights'!I$31</f>
        <v>0.56781226903178139</v>
      </c>
    </row>
    <row r="172" spans="1:31" x14ac:dyDescent="0.25">
      <c r="D172" s="24">
        <f>SUM(D166:D171)</f>
        <v>62.226238406126818</v>
      </c>
    </row>
    <row r="174" spans="1:31" x14ac:dyDescent="0.25">
      <c r="B174" t="s">
        <v>168</v>
      </c>
      <c r="C174">
        <f>SUM(D33:D158)</f>
        <v>7</v>
      </c>
    </row>
    <row r="175" spans="1:31" x14ac:dyDescent="0.25">
      <c r="B175" t="s">
        <v>190</v>
      </c>
      <c r="C175">
        <f>SUM(E162:J162)</f>
        <v>7</v>
      </c>
    </row>
  </sheetData>
  <mergeCells count="4">
    <mergeCell ref="E31:I31"/>
    <mergeCell ref="K31:AE31"/>
    <mergeCell ref="E160:I160"/>
    <mergeCell ref="K160:AE160"/>
  </mergeCells>
  <phoneticPr fontId="18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4FF417-928A-4E23-B432-C8AEA852416D}">
          <x14:formula1>
            <xm:f>'Huc-12 Selection Results'!$E$33:$H$33</xm:f>
          </x14:formula1>
          <xm:sqref>B165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F5DF6-9254-4AB0-826C-6483CC4A54C9}">
  <dimension ref="A1:S37"/>
  <sheetViews>
    <sheetView workbookViewId="0">
      <selection activeCell="B5" sqref="B5"/>
    </sheetView>
  </sheetViews>
  <sheetFormatPr defaultColWidth="8.7109375" defaultRowHeight="15" x14ac:dyDescent="0.25"/>
  <cols>
    <col min="1" max="1" width="25.85546875" style="22" bestFit="1" customWidth="1"/>
    <col min="2" max="2" width="7.42578125" style="22" bestFit="1" customWidth="1"/>
    <col min="3" max="3" width="4.42578125" style="22" customWidth="1"/>
    <col min="4" max="4" width="9.5703125" style="22" bestFit="1" customWidth="1"/>
    <col min="5" max="5" width="9.85546875" style="22" bestFit="1" customWidth="1"/>
    <col min="6" max="6" width="6.140625" style="22" bestFit="1" customWidth="1"/>
    <col min="7" max="7" width="7.85546875" style="22" bestFit="1" customWidth="1"/>
    <col min="8" max="8" width="8.140625" style="22" bestFit="1" customWidth="1"/>
    <col min="9" max="9" width="10.140625" style="22" bestFit="1" customWidth="1"/>
    <col min="10" max="10" width="3.85546875" style="22" bestFit="1" customWidth="1"/>
    <col min="11" max="16384" width="8.7109375" style="22"/>
  </cols>
  <sheetData>
    <row r="1" spans="1:9" x14ac:dyDescent="0.25">
      <c r="B1" s="42"/>
      <c r="C1" s="24"/>
      <c r="D1" s="24"/>
      <c r="E1" s="71" t="s">
        <v>194</v>
      </c>
      <c r="F1" s="71"/>
      <c r="G1" s="71"/>
      <c r="H1" s="71"/>
      <c r="I1" s="71"/>
    </row>
    <row r="2" spans="1:9" x14ac:dyDescent="0.25">
      <c r="B2" s="22" t="s">
        <v>191</v>
      </c>
      <c r="C2" s="24" t="s">
        <v>192</v>
      </c>
      <c r="D2" s="24" t="s">
        <v>225</v>
      </c>
      <c r="E2" s="22" t="s">
        <v>195</v>
      </c>
      <c r="F2" s="22" t="s">
        <v>196</v>
      </c>
      <c r="G2" s="22" t="s">
        <v>198</v>
      </c>
      <c r="H2" s="22" t="s">
        <v>226</v>
      </c>
      <c r="I2" s="22" t="s">
        <v>199</v>
      </c>
    </row>
    <row r="3" spans="1:9" x14ac:dyDescent="0.25">
      <c r="A3" s="22" t="s">
        <v>224</v>
      </c>
      <c r="B3" s="22">
        <v>3</v>
      </c>
      <c r="C3" s="39">
        <v>88</v>
      </c>
      <c r="D3" s="39">
        <f>C3</f>
        <v>88</v>
      </c>
      <c r="E3" s="40">
        <f t="shared" ref="E3:I4" si="0">$B3</f>
        <v>3</v>
      </c>
      <c r="F3" s="40">
        <f t="shared" si="0"/>
        <v>3</v>
      </c>
      <c r="G3" s="40">
        <f t="shared" si="0"/>
        <v>3</v>
      </c>
      <c r="H3" s="40">
        <f t="shared" si="0"/>
        <v>3</v>
      </c>
      <c r="I3" s="40">
        <f t="shared" si="0"/>
        <v>3</v>
      </c>
    </row>
    <row r="4" spans="1:9" x14ac:dyDescent="0.25">
      <c r="A4" s="22" t="s">
        <v>179</v>
      </c>
      <c r="B4" s="21">
        <v>8</v>
      </c>
      <c r="C4" s="42">
        <v>21</v>
      </c>
      <c r="D4" s="40">
        <f t="shared" ref="D4:I10" si="1">$B4</f>
        <v>8</v>
      </c>
      <c r="E4" s="39">
        <v>21</v>
      </c>
      <c r="F4" s="40">
        <f t="shared" si="0"/>
        <v>8</v>
      </c>
      <c r="G4" s="40">
        <f t="shared" si="0"/>
        <v>8</v>
      </c>
      <c r="H4" s="40">
        <f t="shared" si="0"/>
        <v>8</v>
      </c>
      <c r="I4" s="40">
        <f t="shared" si="0"/>
        <v>8</v>
      </c>
    </row>
    <row r="5" spans="1:9" x14ac:dyDescent="0.25">
      <c r="A5" s="22" t="s">
        <v>180</v>
      </c>
      <c r="B5" s="21">
        <v>2</v>
      </c>
      <c r="C5" s="42">
        <v>3</v>
      </c>
      <c r="D5" s="40">
        <f t="shared" si="1"/>
        <v>2</v>
      </c>
      <c r="E5" s="40">
        <f t="shared" si="1"/>
        <v>2</v>
      </c>
      <c r="F5" s="39">
        <v>3</v>
      </c>
      <c r="G5" s="40">
        <f t="shared" si="1"/>
        <v>2</v>
      </c>
      <c r="H5" s="40">
        <f t="shared" si="1"/>
        <v>2</v>
      </c>
      <c r="I5" s="40">
        <f t="shared" si="1"/>
        <v>2</v>
      </c>
    </row>
    <row r="6" spans="1:9" hidden="1" x14ac:dyDescent="0.25">
      <c r="A6" s="22" t="s">
        <v>193</v>
      </c>
      <c r="B6" s="21">
        <v>2</v>
      </c>
      <c r="C6" s="42">
        <v>15</v>
      </c>
      <c r="D6" s="40">
        <f t="shared" si="1"/>
        <v>2</v>
      </c>
      <c r="E6" s="40">
        <f t="shared" si="1"/>
        <v>2</v>
      </c>
      <c r="F6" s="40">
        <f t="shared" si="1"/>
        <v>2</v>
      </c>
      <c r="G6" s="40">
        <f t="shared" si="1"/>
        <v>2</v>
      </c>
      <c r="H6" s="40">
        <f t="shared" si="1"/>
        <v>2</v>
      </c>
      <c r="I6" s="40">
        <f t="shared" si="1"/>
        <v>2</v>
      </c>
    </row>
    <row r="7" spans="1:9" hidden="1" x14ac:dyDescent="0.25">
      <c r="A7" s="22" t="s">
        <v>197</v>
      </c>
      <c r="B7" s="21">
        <v>1</v>
      </c>
      <c r="C7" s="42">
        <v>3</v>
      </c>
      <c r="D7" s="40">
        <f t="shared" si="1"/>
        <v>1</v>
      </c>
      <c r="E7" s="40">
        <f t="shared" si="1"/>
        <v>1</v>
      </c>
      <c r="F7" s="40">
        <f t="shared" si="1"/>
        <v>1</v>
      </c>
      <c r="G7" s="40">
        <f t="shared" si="1"/>
        <v>1</v>
      </c>
      <c r="H7" s="40">
        <f t="shared" si="1"/>
        <v>1</v>
      </c>
      <c r="I7" s="40">
        <f t="shared" si="1"/>
        <v>1</v>
      </c>
    </row>
    <row r="8" spans="1:9" x14ac:dyDescent="0.25">
      <c r="A8" s="22" t="s">
        <v>181</v>
      </c>
      <c r="B8" s="21">
        <v>11</v>
      </c>
      <c r="C8" s="42">
        <v>0</v>
      </c>
      <c r="D8" s="40">
        <f t="shared" si="1"/>
        <v>11</v>
      </c>
      <c r="E8" s="40">
        <f t="shared" si="1"/>
        <v>11</v>
      </c>
      <c r="F8" s="40">
        <f t="shared" si="1"/>
        <v>11</v>
      </c>
      <c r="G8" s="39">
        <v>0</v>
      </c>
      <c r="H8" s="40">
        <f t="shared" si="1"/>
        <v>11</v>
      </c>
      <c r="I8" s="40">
        <f t="shared" si="1"/>
        <v>11</v>
      </c>
    </row>
    <row r="9" spans="1:9" x14ac:dyDescent="0.25">
      <c r="A9" s="22" t="s">
        <v>222</v>
      </c>
      <c r="B9" s="21">
        <v>20</v>
      </c>
      <c r="C9" s="42">
        <v>0</v>
      </c>
      <c r="D9" s="40">
        <f t="shared" si="1"/>
        <v>20</v>
      </c>
      <c r="E9" s="40">
        <f t="shared" si="1"/>
        <v>20</v>
      </c>
      <c r="F9" s="40">
        <f t="shared" si="1"/>
        <v>20</v>
      </c>
      <c r="G9" s="40">
        <f t="shared" si="1"/>
        <v>20</v>
      </c>
      <c r="H9" s="39">
        <f t="shared" si="1"/>
        <v>20</v>
      </c>
      <c r="I9" s="40">
        <f t="shared" si="1"/>
        <v>20</v>
      </c>
    </row>
    <row r="10" spans="1:9" x14ac:dyDescent="0.25">
      <c r="A10" s="22" t="s">
        <v>182</v>
      </c>
      <c r="B10" s="21">
        <v>11</v>
      </c>
      <c r="C10" s="42">
        <v>0</v>
      </c>
      <c r="D10" s="40">
        <f t="shared" si="1"/>
        <v>11</v>
      </c>
      <c r="E10" s="40">
        <f t="shared" si="1"/>
        <v>11</v>
      </c>
      <c r="F10" s="40">
        <f t="shared" si="1"/>
        <v>11</v>
      </c>
      <c r="G10" s="40">
        <f t="shared" si="1"/>
        <v>11</v>
      </c>
      <c r="H10" s="40">
        <f t="shared" si="1"/>
        <v>11</v>
      </c>
      <c r="I10" s="39">
        <v>0</v>
      </c>
    </row>
    <row r="12" spans="1:9" x14ac:dyDescent="0.25">
      <c r="B12" s="71" t="s">
        <v>207</v>
      </c>
      <c r="C12" s="71"/>
      <c r="D12" s="71"/>
      <c r="E12" s="71"/>
      <c r="F12" s="71"/>
      <c r="G12" s="71"/>
      <c r="H12" s="71"/>
      <c r="I12" s="71"/>
    </row>
    <row r="13" spans="1:9" x14ac:dyDescent="0.25">
      <c r="B13" s="22" t="s">
        <v>200</v>
      </c>
      <c r="D13" s="22">
        <v>3</v>
      </c>
      <c r="E13" s="22">
        <v>1</v>
      </c>
      <c r="F13" s="22">
        <v>2</v>
      </c>
      <c r="G13" s="22">
        <v>6</v>
      </c>
      <c r="H13" s="22">
        <v>4</v>
      </c>
      <c r="I13" s="22">
        <v>4</v>
      </c>
    </row>
    <row r="14" spans="1:9" x14ac:dyDescent="0.25">
      <c r="B14" s="22" t="s">
        <v>201</v>
      </c>
      <c r="D14" s="22">
        <v>1</v>
      </c>
      <c r="E14" s="22">
        <v>2</v>
      </c>
      <c r="F14" s="22">
        <v>3</v>
      </c>
      <c r="G14" s="22">
        <v>4</v>
      </c>
      <c r="H14" s="22">
        <v>5</v>
      </c>
      <c r="I14" s="22">
        <v>5</v>
      </c>
    </row>
    <row r="15" spans="1:9" x14ac:dyDescent="0.25">
      <c r="B15" s="22" t="s">
        <v>202</v>
      </c>
      <c r="D15" s="22">
        <v>1</v>
      </c>
      <c r="E15" s="22">
        <v>1</v>
      </c>
      <c r="F15" s="22">
        <v>3</v>
      </c>
      <c r="G15" s="22">
        <v>4</v>
      </c>
      <c r="H15" s="22">
        <v>5</v>
      </c>
      <c r="I15" s="22">
        <v>5</v>
      </c>
    </row>
    <row r="16" spans="1:9" x14ac:dyDescent="0.25">
      <c r="B16" s="22" t="s">
        <v>203</v>
      </c>
      <c r="D16" s="42">
        <v>1</v>
      </c>
      <c r="E16" s="42">
        <v>2</v>
      </c>
      <c r="F16" s="42">
        <v>5</v>
      </c>
      <c r="G16" s="42">
        <v>3</v>
      </c>
      <c r="H16" s="42">
        <v>6</v>
      </c>
      <c r="I16" s="42">
        <v>4</v>
      </c>
    </row>
    <row r="17" spans="2:10" x14ac:dyDescent="0.25">
      <c r="B17" s="22" t="s">
        <v>204</v>
      </c>
      <c r="D17" s="22">
        <v>1</v>
      </c>
      <c r="E17" s="22">
        <v>1</v>
      </c>
      <c r="F17" s="22">
        <v>3</v>
      </c>
      <c r="G17" s="22">
        <v>4</v>
      </c>
      <c r="H17" s="22">
        <v>6</v>
      </c>
      <c r="I17" s="22">
        <v>5</v>
      </c>
    </row>
    <row r="18" spans="2:10" x14ac:dyDescent="0.25">
      <c r="B18" s="22" t="s">
        <v>205</v>
      </c>
      <c r="D18" s="22">
        <v>1</v>
      </c>
      <c r="E18" s="22">
        <v>2</v>
      </c>
      <c r="F18" s="22">
        <v>4</v>
      </c>
      <c r="G18" s="22">
        <v>3</v>
      </c>
      <c r="H18" s="22">
        <v>6</v>
      </c>
      <c r="I18" s="22">
        <v>5</v>
      </c>
    </row>
    <row r="19" spans="2:10" x14ac:dyDescent="0.25">
      <c r="B19" s="22" t="s">
        <v>206</v>
      </c>
      <c r="D19" s="22">
        <v>2</v>
      </c>
      <c r="E19" s="22">
        <v>1</v>
      </c>
      <c r="F19" s="22">
        <v>3</v>
      </c>
      <c r="G19" s="22">
        <v>4</v>
      </c>
      <c r="H19" s="22">
        <v>6</v>
      </c>
      <c r="I19" s="22">
        <v>6</v>
      </c>
    </row>
    <row r="21" spans="2:10" x14ac:dyDescent="0.25">
      <c r="B21" s="71" t="s">
        <v>208</v>
      </c>
      <c r="C21" s="71"/>
      <c r="D21" s="71"/>
      <c r="E21" s="71"/>
      <c r="F21" s="71"/>
      <c r="G21" s="71"/>
      <c r="H21" s="71"/>
      <c r="I21" s="71"/>
    </row>
    <row r="22" spans="2:10" x14ac:dyDescent="0.25">
      <c r="B22" s="22" t="s">
        <v>200</v>
      </c>
      <c r="D22" s="42">
        <v>20</v>
      </c>
      <c r="E22" s="42">
        <v>35</v>
      </c>
      <c r="F22" s="42">
        <v>20</v>
      </c>
      <c r="G22" s="42">
        <v>5</v>
      </c>
      <c r="H22" s="42">
        <v>10</v>
      </c>
      <c r="I22" s="42">
        <v>10</v>
      </c>
      <c r="J22" s="42">
        <f>SUM(D23:I23)</f>
        <v>100</v>
      </c>
    </row>
    <row r="23" spans="2:10" x14ac:dyDescent="0.25">
      <c r="B23" s="22" t="s">
        <v>201</v>
      </c>
      <c r="D23" s="42">
        <v>50</v>
      </c>
      <c r="E23" s="42">
        <v>35</v>
      </c>
      <c r="F23" s="42">
        <v>10</v>
      </c>
      <c r="G23" s="42">
        <v>3</v>
      </c>
      <c r="H23" s="42">
        <v>1</v>
      </c>
      <c r="I23" s="42">
        <v>1</v>
      </c>
      <c r="J23" s="42">
        <f>SUM(D24:I24)</f>
        <v>100</v>
      </c>
    </row>
    <row r="24" spans="2:10" x14ac:dyDescent="0.25">
      <c r="B24" s="22" t="s">
        <v>202</v>
      </c>
      <c r="D24" s="42">
        <v>30</v>
      </c>
      <c r="E24" s="42">
        <v>30</v>
      </c>
      <c r="F24" s="42">
        <v>20</v>
      </c>
      <c r="G24" s="42">
        <v>10</v>
      </c>
      <c r="H24" s="42">
        <v>5</v>
      </c>
      <c r="I24" s="42">
        <v>5</v>
      </c>
      <c r="J24" s="42">
        <f>SUM(D24:I24)</f>
        <v>100</v>
      </c>
    </row>
    <row r="25" spans="2:10" x14ac:dyDescent="0.25">
      <c r="B25" s="22" t="s">
        <v>203</v>
      </c>
      <c r="D25" s="42">
        <v>30</v>
      </c>
      <c r="E25" s="42">
        <v>30</v>
      </c>
      <c r="F25" s="42">
        <v>5</v>
      </c>
      <c r="G25" s="42">
        <v>20</v>
      </c>
      <c r="H25" s="42">
        <v>5</v>
      </c>
      <c r="I25" s="42">
        <v>10</v>
      </c>
      <c r="J25" s="42">
        <f>SUM(D26:I26)</f>
        <v>100</v>
      </c>
    </row>
    <row r="26" spans="2:10" x14ac:dyDescent="0.25">
      <c r="B26" s="22" t="s">
        <v>204</v>
      </c>
      <c r="D26" s="42">
        <v>30</v>
      </c>
      <c r="E26" s="42">
        <v>30</v>
      </c>
      <c r="F26" s="42">
        <v>15</v>
      </c>
      <c r="G26" s="42">
        <v>12.5</v>
      </c>
      <c r="H26" s="42">
        <v>5</v>
      </c>
      <c r="I26" s="42">
        <v>7.5</v>
      </c>
      <c r="J26" s="42">
        <f t="shared" ref="J26:J27" si="2">SUM(D27:I27)</f>
        <v>100</v>
      </c>
    </row>
    <row r="27" spans="2:10" x14ac:dyDescent="0.25">
      <c r="B27" s="22" t="s">
        <v>205</v>
      </c>
      <c r="D27" s="42">
        <v>40</v>
      </c>
      <c r="E27" s="42">
        <v>30</v>
      </c>
      <c r="F27" s="42">
        <v>15</v>
      </c>
      <c r="G27" s="42">
        <v>10</v>
      </c>
      <c r="H27" s="42">
        <v>2</v>
      </c>
      <c r="I27" s="42">
        <v>3</v>
      </c>
      <c r="J27" s="42">
        <f t="shared" si="2"/>
        <v>99.999999999999972</v>
      </c>
    </row>
    <row r="28" spans="2:10" x14ac:dyDescent="0.25">
      <c r="B28" s="22" t="s">
        <v>206</v>
      </c>
      <c r="D28" s="42">
        <v>21.95121951219512</v>
      </c>
      <c r="E28" s="42">
        <v>24.390243902439021</v>
      </c>
      <c r="F28" s="42">
        <v>19.512195121951219</v>
      </c>
      <c r="G28" s="42">
        <v>12.195121951219511</v>
      </c>
      <c r="H28" s="42">
        <v>10.97560975609756</v>
      </c>
      <c r="I28" s="42">
        <v>10.97560975609756</v>
      </c>
      <c r="J28" s="42">
        <f>SUM(D28:I28)</f>
        <v>99.999999999999972</v>
      </c>
    </row>
    <row r="29" spans="2:10" x14ac:dyDescent="0.25">
      <c r="B29" s="22" t="s">
        <v>209</v>
      </c>
      <c r="D29" s="42">
        <f t="shared" ref="D29:I29" si="3">MIN(D23:D28)</f>
        <v>21.95121951219512</v>
      </c>
      <c r="E29" s="42">
        <f t="shared" si="3"/>
        <v>24.390243902439021</v>
      </c>
      <c r="F29" s="42">
        <f t="shared" si="3"/>
        <v>5</v>
      </c>
      <c r="G29" s="42">
        <f t="shared" si="3"/>
        <v>3</v>
      </c>
      <c r="H29" s="42">
        <f t="shared" si="3"/>
        <v>1</v>
      </c>
      <c r="I29" s="42">
        <f t="shared" si="3"/>
        <v>1</v>
      </c>
    </row>
    <row r="30" spans="2:10" x14ac:dyDescent="0.25">
      <c r="B30" s="22" t="s">
        <v>210</v>
      </c>
      <c r="D30" s="42">
        <f t="shared" ref="D30:I30" si="4">MAX(D23:D28)</f>
        <v>50</v>
      </c>
      <c r="E30" s="42">
        <f t="shared" si="4"/>
        <v>35</v>
      </c>
      <c r="F30" s="42">
        <f t="shared" si="4"/>
        <v>20</v>
      </c>
      <c r="G30" s="42">
        <f t="shared" si="4"/>
        <v>20</v>
      </c>
      <c r="H30" s="42">
        <f t="shared" si="4"/>
        <v>10.97560975609756</v>
      </c>
      <c r="I30" s="42">
        <f t="shared" si="4"/>
        <v>10.97560975609756</v>
      </c>
    </row>
    <row r="31" spans="2:10" x14ac:dyDescent="0.25">
      <c r="B31" s="22" t="s">
        <v>211</v>
      </c>
      <c r="D31" s="42">
        <f t="shared" ref="D31:I31" si="5">AVERAGE(D23:D28)</f>
        <v>33.658536585365852</v>
      </c>
      <c r="E31" s="42">
        <f t="shared" si="5"/>
        <v>29.898373983739834</v>
      </c>
      <c r="F31" s="42">
        <f t="shared" si="5"/>
        <v>14.085365853658537</v>
      </c>
      <c r="G31" s="42">
        <f t="shared" si="5"/>
        <v>11.282520325203251</v>
      </c>
      <c r="H31" s="42">
        <f t="shared" si="5"/>
        <v>4.8292682926829267</v>
      </c>
      <c r="I31" s="42">
        <f t="shared" si="5"/>
        <v>6.2459349593495936</v>
      </c>
    </row>
    <row r="37" spans="15:19" x14ac:dyDescent="0.25">
      <c r="O37" s="42"/>
      <c r="P37" s="42"/>
      <c r="Q37" s="42"/>
      <c r="R37" s="42"/>
      <c r="S37" s="42"/>
    </row>
  </sheetData>
  <mergeCells count="3">
    <mergeCell ref="E1:I1"/>
    <mergeCell ref="B12:I12"/>
    <mergeCell ref="B21:I21"/>
  </mergeCells>
  <conditionalFormatting sqref="D22:I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4:I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5A53-63AA-4402-A286-E6AE5558B38E}">
  <dimension ref="A1:O29"/>
  <sheetViews>
    <sheetView topLeftCell="B1" workbookViewId="0">
      <selection activeCell="J3" sqref="J3:M3"/>
    </sheetView>
  </sheetViews>
  <sheetFormatPr defaultColWidth="8.7109375" defaultRowHeight="15" x14ac:dyDescent="0.25"/>
  <cols>
    <col min="1" max="1" width="35" style="22" bestFit="1" customWidth="1"/>
    <col min="2" max="2" width="8.7109375" style="22"/>
    <col min="3" max="3" width="11.85546875" style="22" bestFit="1" customWidth="1"/>
    <col min="4" max="4" width="24.42578125" style="22" customWidth="1"/>
    <col min="5" max="5" width="10.5703125" style="22" customWidth="1"/>
    <col min="6" max="9" width="11.5703125" style="22" customWidth="1"/>
    <col min="10" max="10" width="10.140625" style="22" bestFit="1" customWidth="1"/>
    <col min="11" max="11" width="14.42578125" style="22" bestFit="1" customWidth="1"/>
    <col min="12" max="12" width="14.7109375" style="22" bestFit="1" customWidth="1"/>
    <col min="13" max="13" width="13.42578125" style="22" bestFit="1" customWidth="1"/>
    <col min="14" max="16384" width="8.7109375" style="22"/>
  </cols>
  <sheetData>
    <row r="1" spans="1:15" ht="15.75" thickBot="1" x14ac:dyDescent="0.3"/>
    <row r="2" spans="1:15" ht="15.75" thickBot="1" x14ac:dyDescent="0.3">
      <c r="B2" s="45"/>
      <c r="C2" s="46"/>
      <c r="D2" s="46"/>
      <c r="E2" s="73" t="s">
        <v>227</v>
      </c>
      <c r="F2" s="74"/>
      <c r="G2" s="74"/>
      <c r="H2" s="74"/>
      <c r="I2" s="75"/>
      <c r="N2" s="22" t="s">
        <v>228</v>
      </c>
    </row>
    <row r="3" spans="1:15" ht="15.75" thickBot="1" x14ac:dyDescent="0.3">
      <c r="A3" s="22" t="s">
        <v>244</v>
      </c>
      <c r="B3" s="47" t="s">
        <v>229</v>
      </c>
      <c r="C3" s="48" t="s">
        <v>230</v>
      </c>
      <c r="D3" s="49" t="s">
        <v>231</v>
      </c>
      <c r="E3" s="50">
        <v>0</v>
      </c>
      <c r="F3" s="51" t="s">
        <v>219</v>
      </c>
      <c r="G3" s="51" t="s">
        <v>218</v>
      </c>
      <c r="H3" s="51" t="s">
        <v>232</v>
      </c>
      <c r="I3" s="52" t="s">
        <v>223</v>
      </c>
      <c r="J3" s="59" t="s">
        <v>253</v>
      </c>
      <c r="K3" s="63" t="s">
        <v>251</v>
      </c>
      <c r="L3" s="63" t="s">
        <v>252</v>
      </c>
      <c r="M3" s="63" t="s">
        <v>254</v>
      </c>
      <c r="N3" s="28" t="s">
        <v>233</v>
      </c>
      <c r="O3" s="53" t="s">
        <v>234</v>
      </c>
    </row>
    <row r="4" spans="1:15" x14ac:dyDescent="0.25">
      <c r="A4" s="22" t="str">
        <f>B4&amp;C4&amp;D4</f>
        <v>Good0Introduction</v>
      </c>
      <c r="B4" s="54" t="s">
        <v>220</v>
      </c>
      <c r="C4" s="55">
        <v>0</v>
      </c>
      <c r="D4" s="56" t="s">
        <v>235</v>
      </c>
      <c r="E4" s="54">
        <v>10</v>
      </c>
      <c r="F4" s="55">
        <v>25</v>
      </c>
      <c r="G4" s="55">
        <v>25</v>
      </c>
      <c r="H4" s="55">
        <v>25</v>
      </c>
      <c r="I4" s="56">
        <v>15</v>
      </c>
      <c r="J4" s="64" t="str">
        <f>HLOOKUP(MAX(E4:I4),$E$4:$I$29,26,FALSE)</f>
        <v>Low</v>
      </c>
      <c r="K4" s="64">
        <v>0</v>
      </c>
      <c r="L4" s="64" t="s">
        <v>223</v>
      </c>
      <c r="M4" s="66">
        <v>0.57473180000000001</v>
      </c>
    </row>
    <row r="5" spans="1:15" x14ac:dyDescent="0.25">
      <c r="A5" s="22" t="str">
        <f t="shared" ref="A5:A28" si="0">B5&amp;C5&amp;D5</f>
        <v>Good0No Action</v>
      </c>
      <c r="B5" s="57" t="s">
        <v>220</v>
      </c>
      <c r="C5" s="28">
        <v>0</v>
      </c>
      <c r="D5" s="58" t="s">
        <v>236</v>
      </c>
      <c r="E5" s="57">
        <v>100</v>
      </c>
      <c r="F5" s="28">
        <v>0</v>
      </c>
      <c r="G5" s="28">
        <v>0</v>
      </c>
      <c r="H5" s="28">
        <v>0</v>
      </c>
      <c r="I5" s="58">
        <v>0</v>
      </c>
      <c r="J5" s="64">
        <f>HLOOKUP(MAX(E5:I5),$E$5:$I$29,25,FALSE)</f>
        <v>0</v>
      </c>
      <c r="K5" s="64">
        <v>0</v>
      </c>
      <c r="L5" s="64">
        <v>0</v>
      </c>
      <c r="M5" s="66">
        <v>0</v>
      </c>
    </row>
    <row r="6" spans="1:15" x14ac:dyDescent="0.25">
      <c r="A6" s="22" t="str">
        <f t="shared" si="0"/>
        <v>Unknown0No Action</v>
      </c>
      <c r="B6" s="57" t="s">
        <v>221</v>
      </c>
      <c r="C6" s="28">
        <v>0</v>
      </c>
      <c r="D6" s="58" t="s">
        <v>236</v>
      </c>
      <c r="E6" s="57">
        <v>100</v>
      </c>
      <c r="F6" s="28">
        <v>0</v>
      </c>
      <c r="G6" s="28">
        <v>0</v>
      </c>
      <c r="H6" s="28">
        <v>0</v>
      </c>
      <c r="I6" s="58">
        <v>0</v>
      </c>
      <c r="J6" s="64">
        <f>HLOOKUP(MAX(E6:I6),$E$6:$I$29,24,FALSE)</f>
        <v>0</v>
      </c>
      <c r="K6" s="64">
        <v>0</v>
      </c>
      <c r="L6" s="64">
        <v>0</v>
      </c>
      <c r="M6" s="66">
        <v>0</v>
      </c>
    </row>
    <row r="7" spans="1:15" x14ac:dyDescent="0.25">
      <c r="A7" s="22" t="str">
        <f t="shared" si="0"/>
        <v>GoodLowAugment</v>
      </c>
      <c r="B7" s="57" t="s">
        <v>220</v>
      </c>
      <c r="C7" s="28" t="s">
        <v>219</v>
      </c>
      <c r="D7" s="58" t="s">
        <v>237</v>
      </c>
      <c r="E7" s="57">
        <v>10</v>
      </c>
      <c r="F7" s="28">
        <v>30</v>
      </c>
      <c r="G7" s="28">
        <v>30</v>
      </c>
      <c r="H7" s="28">
        <v>20</v>
      </c>
      <c r="I7" s="58">
        <v>10</v>
      </c>
      <c r="J7" s="64" t="str">
        <f>HLOOKUP(MAX(E7:I7),$E$7:$I$29,23,FALSE)</f>
        <v>Low</v>
      </c>
      <c r="K7" s="64">
        <v>0</v>
      </c>
      <c r="L7" s="64" t="s">
        <v>223</v>
      </c>
      <c r="M7" s="66">
        <v>0.52008600000000005</v>
      </c>
    </row>
    <row r="8" spans="1:15" x14ac:dyDescent="0.25">
      <c r="A8" s="22" t="str">
        <f t="shared" si="0"/>
        <v>GoodLowRestrained Augment</v>
      </c>
      <c r="B8" s="57" t="s">
        <v>220</v>
      </c>
      <c r="C8" s="28" t="s">
        <v>219</v>
      </c>
      <c r="D8" s="58" t="s">
        <v>238</v>
      </c>
      <c r="E8" s="57">
        <v>15</v>
      </c>
      <c r="F8" s="28">
        <v>45</v>
      </c>
      <c r="G8" s="28">
        <v>20</v>
      </c>
      <c r="H8" s="28">
        <v>15</v>
      </c>
      <c r="I8" s="58">
        <v>5</v>
      </c>
      <c r="J8" s="64" t="str">
        <f>HLOOKUP(MAX(E8:I8),$E$8:$I$29,22,FALSE)</f>
        <v>Low</v>
      </c>
      <c r="K8" s="64">
        <v>0</v>
      </c>
      <c r="L8" s="64" t="s">
        <v>223</v>
      </c>
      <c r="M8" s="66">
        <v>0.39509250000000001</v>
      </c>
    </row>
    <row r="9" spans="1:15" x14ac:dyDescent="0.25">
      <c r="A9" s="22" t="str">
        <f t="shared" si="0"/>
        <v>GoodLowNo Action</v>
      </c>
      <c r="B9" s="57" t="s">
        <v>220</v>
      </c>
      <c r="C9" s="28" t="s">
        <v>219</v>
      </c>
      <c r="D9" s="58" t="s">
        <v>236</v>
      </c>
      <c r="E9" s="57">
        <v>20</v>
      </c>
      <c r="F9" s="28">
        <v>50</v>
      </c>
      <c r="G9" s="28">
        <v>15</v>
      </c>
      <c r="H9" s="28">
        <v>10</v>
      </c>
      <c r="I9" s="58">
        <v>5</v>
      </c>
      <c r="J9" s="64" t="str">
        <f>HLOOKUP(MAX(E9:I9),$E$9:$I$29,21,FALSE)</f>
        <v>Low</v>
      </c>
      <c r="K9" s="64">
        <v>0</v>
      </c>
      <c r="L9" s="64" t="s">
        <v>223</v>
      </c>
      <c r="M9" s="66">
        <v>0.3300865</v>
      </c>
    </row>
    <row r="10" spans="1:15" x14ac:dyDescent="0.25">
      <c r="A10" s="22" t="str">
        <f t="shared" si="0"/>
        <v>GoodLowProp - No Replacement</v>
      </c>
      <c r="B10" s="57" t="s">
        <v>220</v>
      </c>
      <c r="C10" s="28" t="s">
        <v>219</v>
      </c>
      <c r="D10" s="58" t="s">
        <v>239</v>
      </c>
      <c r="E10" s="57">
        <v>30</v>
      </c>
      <c r="F10" s="28">
        <v>40</v>
      </c>
      <c r="G10" s="28">
        <v>15</v>
      </c>
      <c r="H10" s="28">
        <v>10</v>
      </c>
      <c r="I10" s="58">
        <v>5</v>
      </c>
      <c r="J10" s="64" t="str">
        <f>HLOOKUP(MAX(E10:I10),$E$10:$I$29,20,FALSE)</f>
        <v>Low</v>
      </c>
      <c r="K10" s="64">
        <v>0</v>
      </c>
      <c r="L10" s="64" t="s">
        <v>223</v>
      </c>
      <c r="M10" s="66">
        <v>0.30975920000000001</v>
      </c>
    </row>
    <row r="11" spans="1:15" x14ac:dyDescent="0.25">
      <c r="A11" s="22" t="str">
        <f t="shared" si="0"/>
        <v>UnknownLowProp - No Replacement</v>
      </c>
      <c r="B11" s="57" t="s">
        <v>221</v>
      </c>
      <c r="C11" s="28" t="s">
        <v>219</v>
      </c>
      <c r="D11" s="58" t="s">
        <v>239</v>
      </c>
      <c r="E11" s="57">
        <v>45</v>
      </c>
      <c r="F11" s="28">
        <v>35</v>
      </c>
      <c r="G11" s="28">
        <v>10</v>
      </c>
      <c r="H11" s="28">
        <v>5</v>
      </c>
      <c r="I11" s="58">
        <v>5</v>
      </c>
      <c r="J11" s="64">
        <f>HLOOKUP(MAX(E11:I11),$E$11:$I$29,19,FALSE)</f>
        <v>0</v>
      </c>
      <c r="K11" s="64">
        <v>0</v>
      </c>
      <c r="L11" s="64" t="s">
        <v>223</v>
      </c>
      <c r="M11" s="66">
        <v>0.22533069999999999</v>
      </c>
    </row>
    <row r="12" spans="1:15" x14ac:dyDescent="0.25">
      <c r="A12" s="22" t="str">
        <f t="shared" si="0"/>
        <v>UnknownLowNo Action</v>
      </c>
      <c r="B12" s="57" t="s">
        <v>221</v>
      </c>
      <c r="C12" s="28" t="s">
        <v>219</v>
      </c>
      <c r="D12" s="58" t="s">
        <v>236</v>
      </c>
      <c r="E12" s="57">
        <v>55</v>
      </c>
      <c r="F12" s="28">
        <v>40</v>
      </c>
      <c r="G12" s="28">
        <v>5</v>
      </c>
      <c r="H12" s="28">
        <v>0</v>
      </c>
      <c r="I12" s="58">
        <v>0</v>
      </c>
      <c r="J12" s="64">
        <f>HLOOKUP(MAX(E12:I12),$E$12:$I$29,18,FALSE)</f>
        <v>0</v>
      </c>
      <c r="K12" s="64">
        <v>0</v>
      </c>
      <c r="L12" s="64" t="s">
        <v>218</v>
      </c>
      <c r="M12" s="66">
        <v>0.1100372</v>
      </c>
    </row>
    <row r="13" spans="1:15" x14ac:dyDescent="0.25">
      <c r="A13" s="22" t="str">
        <f t="shared" si="0"/>
        <v>GoodMed-LowNo Action</v>
      </c>
      <c r="B13" s="57" t="s">
        <v>220</v>
      </c>
      <c r="C13" s="28" t="s">
        <v>218</v>
      </c>
      <c r="D13" s="58" t="s">
        <v>236</v>
      </c>
      <c r="E13" s="57">
        <v>15</v>
      </c>
      <c r="F13" s="28">
        <v>15</v>
      </c>
      <c r="G13" s="28">
        <v>45</v>
      </c>
      <c r="H13" s="28">
        <v>20</v>
      </c>
      <c r="I13" s="58">
        <v>5</v>
      </c>
      <c r="J13" s="64" t="str">
        <f>HLOOKUP(MAX(E13:I13),$E$13:$I$29,17,FALSE)</f>
        <v>Med-Low</v>
      </c>
      <c r="K13" s="64">
        <v>0</v>
      </c>
      <c r="L13" s="64" t="s">
        <v>223</v>
      </c>
      <c r="M13" s="66">
        <v>0.53027040000000003</v>
      </c>
    </row>
    <row r="14" spans="1:15" x14ac:dyDescent="0.25">
      <c r="A14" s="22" t="str">
        <f t="shared" si="0"/>
        <v>GoodMed-LowProp w/Replacement</v>
      </c>
      <c r="B14" s="57" t="s">
        <v>220</v>
      </c>
      <c r="C14" s="28" t="s">
        <v>218</v>
      </c>
      <c r="D14" s="58" t="s">
        <v>240</v>
      </c>
      <c r="E14" s="57">
        <v>15</v>
      </c>
      <c r="F14" s="28">
        <v>20</v>
      </c>
      <c r="G14" s="28">
        <v>40</v>
      </c>
      <c r="H14" s="28">
        <v>20</v>
      </c>
      <c r="I14" s="58">
        <v>5</v>
      </c>
      <c r="J14" s="64" t="str">
        <f>HLOOKUP(MAX(E14:I14),$E$14:$I$29,16,FALSE)</f>
        <v>Med-Low</v>
      </c>
      <c r="K14" s="64">
        <v>0</v>
      </c>
      <c r="L14" s="64" t="s">
        <v>223</v>
      </c>
      <c r="M14" s="66">
        <v>0.50989289999999998</v>
      </c>
    </row>
    <row r="15" spans="1:15" x14ac:dyDescent="0.25">
      <c r="A15" s="22" t="str">
        <f t="shared" si="0"/>
        <v>GoodMed-LowAugment</v>
      </c>
      <c r="B15" s="57" t="s">
        <v>220</v>
      </c>
      <c r="C15" s="28" t="s">
        <v>218</v>
      </c>
      <c r="D15" s="58" t="s">
        <v>237</v>
      </c>
      <c r="E15" s="57">
        <v>5</v>
      </c>
      <c r="F15" s="28">
        <v>15</v>
      </c>
      <c r="G15" s="28">
        <v>30</v>
      </c>
      <c r="H15" s="28">
        <v>30</v>
      </c>
      <c r="I15" s="58">
        <v>20</v>
      </c>
      <c r="J15" s="64" t="str">
        <f>HLOOKUP(MAX(E15:I15),$E$15:$I$29,15,FALSE)</f>
        <v>Med-Low</v>
      </c>
      <c r="K15" s="64">
        <v>0</v>
      </c>
      <c r="L15" s="64" t="s">
        <v>223</v>
      </c>
      <c r="M15" s="66">
        <v>0.68057290000000004</v>
      </c>
    </row>
    <row r="16" spans="1:15" x14ac:dyDescent="0.25">
      <c r="A16" s="22" t="str">
        <f t="shared" si="0"/>
        <v>GoodMed-LowRestrained Augment</v>
      </c>
      <c r="B16" s="57" t="s">
        <v>220</v>
      </c>
      <c r="C16" s="28" t="s">
        <v>218</v>
      </c>
      <c r="D16" s="58" t="s">
        <v>238</v>
      </c>
      <c r="E16" s="57">
        <v>7.5</v>
      </c>
      <c r="F16" s="28">
        <v>15</v>
      </c>
      <c r="G16" s="28">
        <v>35</v>
      </c>
      <c r="H16" s="28">
        <v>27.5</v>
      </c>
      <c r="I16" s="58">
        <v>15</v>
      </c>
      <c r="J16" s="64" t="str">
        <f>HLOOKUP(MAX(E16:I16),$E$16:$I$29,14,FALSE)</f>
        <v>Med-Low</v>
      </c>
      <c r="K16" s="64">
        <v>0</v>
      </c>
      <c r="L16" s="64" t="s">
        <v>223</v>
      </c>
      <c r="M16" s="66">
        <v>0.63703829999999995</v>
      </c>
    </row>
    <row r="17" spans="1:13" x14ac:dyDescent="0.25">
      <c r="A17" s="22" t="str">
        <f t="shared" si="0"/>
        <v>GoodMed-LowProp + Aug</v>
      </c>
      <c r="B17" s="57" t="s">
        <v>220</v>
      </c>
      <c r="C17" s="28" t="s">
        <v>218</v>
      </c>
      <c r="D17" s="58" t="s">
        <v>241</v>
      </c>
      <c r="E17" s="57">
        <v>10</v>
      </c>
      <c r="F17" s="28">
        <v>15</v>
      </c>
      <c r="G17" s="28">
        <v>40</v>
      </c>
      <c r="H17" s="28">
        <v>25</v>
      </c>
      <c r="I17" s="58">
        <v>10</v>
      </c>
      <c r="J17" s="64" t="str">
        <f>HLOOKUP(MAX(E17:I17),$E$17:$I$29,13,FALSE)</f>
        <v>Med-Low</v>
      </c>
      <c r="K17" s="64">
        <v>0</v>
      </c>
      <c r="L17" s="64" t="s">
        <v>223</v>
      </c>
      <c r="M17" s="66">
        <v>0.59494999999999998</v>
      </c>
    </row>
    <row r="18" spans="1:13" x14ac:dyDescent="0.25">
      <c r="A18" s="22" t="str">
        <f t="shared" si="0"/>
        <v>UnknownMed-LowProp w/Replacement</v>
      </c>
      <c r="B18" s="57" t="s">
        <v>221</v>
      </c>
      <c r="C18" s="28" t="s">
        <v>218</v>
      </c>
      <c r="D18" s="58" t="s">
        <v>240</v>
      </c>
      <c r="E18" s="57">
        <v>20</v>
      </c>
      <c r="F18" s="28">
        <v>20</v>
      </c>
      <c r="G18" s="28">
        <v>40</v>
      </c>
      <c r="H18" s="28">
        <v>15</v>
      </c>
      <c r="I18" s="58">
        <v>5</v>
      </c>
      <c r="J18" s="64" t="str">
        <f>HLOOKUP(MAX(E18:I18),$E$18:$I$29,12,FALSE)</f>
        <v>Med-Low</v>
      </c>
      <c r="K18" s="64">
        <v>0</v>
      </c>
      <c r="L18" s="64" t="s">
        <v>223</v>
      </c>
      <c r="M18" s="66">
        <v>0.46480110000000002</v>
      </c>
    </row>
    <row r="19" spans="1:13" x14ac:dyDescent="0.25">
      <c r="A19" s="22" t="str">
        <f t="shared" si="0"/>
        <v>UnknownMed-LowNo Action</v>
      </c>
      <c r="B19" s="57" t="s">
        <v>221</v>
      </c>
      <c r="C19" s="28" t="s">
        <v>218</v>
      </c>
      <c r="D19" s="58" t="s">
        <v>236</v>
      </c>
      <c r="E19" s="57">
        <v>20</v>
      </c>
      <c r="F19" s="28">
        <v>30</v>
      </c>
      <c r="G19" s="28">
        <v>45</v>
      </c>
      <c r="H19" s="28">
        <v>5</v>
      </c>
      <c r="I19" s="58">
        <v>0</v>
      </c>
      <c r="J19" s="64" t="str">
        <f>HLOOKUP(MAX(E19:I19),$E$19:$I$29,11,FALSE)</f>
        <v>Med-Low</v>
      </c>
      <c r="K19" s="64">
        <v>0</v>
      </c>
      <c r="L19" s="64" t="s">
        <v>232</v>
      </c>
      <c r="M19" s="66">
        <v>0.37515140000000002</v>
      </c>
    </row>
    <row r="20" spans="1:13" x14ac:dyDescent="0.25">
      <c r="A20" s="22" t="str">
        <f t="shared" si="0"/>
        <v>GoodMed-HighProp w/Replacement</v>
      </c>
      <c r="B20" s="57" t="s">
        <v>220</v>
      </c>
      <c r="C20" s="28" t="s">
        <v>232</v>
      </c>
      <c r="D20" s="58" t="s">
        <v>240</v>
      </c>
      <c r="E20" s="57">
        <v>5</v>
      </c>
      <c r="F20" s="28">
        <v>10</v>
      </c>
      <c r="G20" s="28">
        <v>30</v>
      </c>
      <c r="H20" s="28">
        <v>45</v>
      </c>
      <c r="I20" s="58">
        <v>10</v>
      </c>
      <c r="J20" s="64" t="str">
        <f>HLOOKUP(MAX(E20:I20),$E$20:$I$29,10,FALSE)</f>
        <v>Med-High</v>
      </c>
      <c r="K20" s="64">
        <v>0</v>
      </c>
      <c r="L20" s="64" t="s">
        <v>223</v>
      </c>
      <c r="M20" s="66">
        <v>0.70491000000000004</v>
      </c>
    </row>
    <row r="21" spans="1:13" x14ac:dyDescent="0.25">
      <c r="A21" s="22" t="str">
        <f t="shared" si="0"/>
        <v>GoodMed-HighRestrained Augment</v>
      </c>
      <c r="B21" s="57" t="s">
        <v>220</v>
      </c>
      <c r="C21" s="28" t="s">
        <v>232</v>
      </c>
      <c r="D21" s="58" t="s">
        <v>238</v>
      </c>
      <c r="E21" s="57">
        <v>5</v>
      </c>
      <c r="F21" s="28">
        <v>5</v>
      </c>
      <c r="G21" s="28">
        <v>15</v>
      </c>
      <c r="H21" s="28">
        <v>45</v>
      </c>
      <c r="I21" s="58">
        <v>30</v>
      </c>
      <c r="J21" s="64" t="str">
        <f>HLOOKUP(MAX(E21:I21),$E$21:$I$29,9,FALSE)</f>
        <v>Med-High</v>
      </c>
      <c r="K21" s="64">
        <v>0</v>
      </c>
      <c r="L21" s="64" t="s">
        <v>223</v>
      </c>
      <c r="M21" s="66">
        <v>0.80491520000000005</v>
      </c>
    </row>
    <row r="22" spans="1:13" x14ac:dyDescent="0.25">
      <c r="A22" s="22" t="str">
        <f t="shared" si="0"/>
        <v>GoodMed-HighNo Action</v>
      </c>
      <c r="B22" s="57" t="s">
        <v>220</v>
      </c>
      <c r="C22" s="28" t="s">
        <v>232</v>
      </c>
      <c r="D22" s="58" t="s">
        <v>236</v>
      </c>
      <c r="E22" s="57">
        <v>5</v>
      </c>
      <c r="F22" s="28">
        <v>10</v>
      </c>
      <c r="G22" s="28">
        <v>30</v>
      </c>
      <c r="H22" s="28">
        <v>45</v>
      </c>
      <c r="I22" s="58">
        <v>10</v>
      </c>
      <c r="J22" s="64" t="str">
        <f>HLOOKUP(MAX(E22:I22),$E$22:$I$29,8,FALSE)</f>
        <v>Med-High</v>
      </c>
      <c r="K22" s="64">
        <v>0</v>
      </c>
      <c r="L22" s="64" t="s">
        <v>223</v>
      </c>
      <c r="M22" s="66">
        <v>0.70528230000000003</v>
      </c>
    </row>
    <row r="23" spans="1:13" x14ac:dyDescent="0.25">
      <c r="A23" s="22" t="str">
        <f t="shared" si="0"/>
        <v>UnknownMed-HighProp w/Replacement</v>
      </c>
      <c r="B23" s="57" t="s">
        <v>221</v>
      </c>
      <c r="C23" s="28" t="s">
        <v>232</v>
      </c>
      <c r="D23" s="58" t="s">
        <v>240</v>
      </c>
      <c r="E23" s="57">
        <v>5</v>
      </c>
      <c r="F23" s="28">
        <v>10</v>
      </c>
      <c r="G23" s="28">
        <v>40</v>
      </c>
      <c r="H23" s="28">
        <v>40</v>
      </c>
      <c r="I23" s="58">
        <v>5</v>
      </c>
      <c r="J23" s="64" t="str">
        <f>HLOOKUP(MAX(E23:I23),$E$23:$I$29,7,FALSE)</f>
        <v>Med-Low</v>
      </c>
      <c r="K23" s="64">
        <v>0</v>
      </c>
      <c r="L23" s="64" t="s">
        <v>223</v>
      </c>
      <c r="M23" s="66">
        <v>0.6698482</v>
      </c>
    </row>
    <row r="24" spans="1:13" x14ac:dyDescent="0.25">
      <c r="A24" s="22" t="str">
        <f t="shared" si="0"/>
        <v>UnknownMed-HighNo Action</v>
      </c>
      <c r="B24" s="57" t="s">
        <v>221</v>
      </c>
      <c r="C24" s="28" t="s">
        <v>232</v>
      </c>
      <c r="D24" s="58" t="s">
        <v>236</v>
      </c>
      <c r="E24" s="57">
        <v>5</v>
      </c>
      <c r="F24" s="28">
        <v>20</v>
      </c>
      <c r="G24" s="28">
        <v>40</v>
      </c>
      <c r="H24" s="28">
        <v>30</v>
      </c>
      <c r="I24" s="58">
        <v>5</v>
      </c>
      <c r="J24" s="64" t="str">
        <f>HLOOKUP(MAX(E24:I24),$E$24:$I$29,6,FALSE)</f>
        <v>Med-Low</v>
      </c>
      <c r="K24" s="64">
        <v>0</v>
      </c>
      <c r="L24" s="64" t="s">
        <v>223</v>
      </c>
      <c r="M24" s="66">
        <v>0.59981609999999996</v>
      </c>
    </row>
    <row r="25" spans="1:13" x14ac:dyDescent="0.25">
      <c r="A25" s="22" t="str">
        <f t="shared" si="0"/>
        <v>GoodHighProp (source only)</v>
      </c>
      <c r="B25" s="57" t="s">
        <v>220</v>
      </c>
      <c r="C25" s="28" t="s">
        <v>223</v>
      </c>
      <c r="D25" s="58" t="s">
        <v>242</v>
      </c>
      <c r="E25" s="57">
        <v>0</v>
      </c>
      <c r="F25" s="28">
        <v>5</v>
      </c>
      <c r="G25" s="28">
        <v>5</v>
      </c>
      <c r="H25" s="28">
        <v>15</v>
      </c>
      <c r="I25" s="58">
        <v>75</v>
      </c>
      <c r="J25" s="64" t="str">
        <f>HLOOKUP(MAX(E25:I25),$E$25:$I$29,5,FALSE)</f>
        <v>High</v>
      </c>
      <c r="K25" s="64" t="s">
        <v>219</v>
      </c>
      <c r="L25" s="64" t="s">
        <v>223</v>
      </c>
      <c r="M25" s="66">
        <v>0.92491219999999996</v>
      </c>
    </row>
    <row r="26" spans="1:13" x14ac:dyDescent="0.25">
      <c r="A26" s="22" t="str">
        <f t="shared" si="0"/>
        <v>UnknownHighProp (source only)</v>
      </c>
      <c r="B26" s="57" t="s">
        <v>221</v>
      </c>
      <c r="C26" s="28" t="s">
        <v>223</v>
      </c>
      <c r="D26" s="58" t="s">
        <v>242</v>
      </c>
      <c r="E26" s="57">
        <v>0</v>
      </c>
      <c r="F26" s="28">
        <v>5</v>
      </c>
      <c r="G26" s="28">
        <v>10</v>
      </c>
      <c r="H26" s="28">
        <v>20</v>
      </c>
      <c r="I26" s="58">
        <v>65</v>
      </c>
      <c r="J26" s="64" t="str">
        <f>HLOOKUP(MAX(E26:I26),$E$26:$I$29,4,FALSE)</f>
        <v>High</v>
      </c>
      <c r="K26" s="64" t="s">
        <v>219</v>
      </c>
      <c r="L26" s="64" t="s">
        <v>223</v>
      </c>
      <c r="M26" s="66">
        <v>0.8997098</v>
      </c>
    </row>
    <row r="27" spans="1:13" x14ac:dyDescent="0.25">
      <c r="A27" s="22" t="str">
        <f t="shared" si="0"/>
        <v>GoodHighNo Action</v>
      </c>
      <c r="B27" s="57" t="s">
        <v>220</v>
      </c>
      <c r="C27" s="28" t="s">
        <v>223</v>
      </c>
      <c r="D27" s="58" t="s">
        <v>236</v>
      </c>
      <c r="E27" s="57">
        <v>0</v>
      </c>
      <c r="F27" s="28">
        <v>0</v>
      </c>
      <c r="G27" s="28">
        <v>0</v>
      </c>
      <c r="H27" s="28">
        <v>10</v>
      </c>
      <c r="I27" s="58">
        <v>90</v>
      </c>
      <c r="J27" s="64" t="str">
        <f>HLOOKUP(MAX(E27:I27),$E$27:$I$29,3,FALSE)</f>
        <v>High</v>
      </c>
      <c r="K27" s="64" t="s">
        <v>232</v>
      </c>
      <c r="L27" s="64" t="s">
        <v>223</v>
      </c>
      <c r="M27" s="66">
        <v>0.99000030000000006</v>
      </c>
    </row>
    <row r="28" spans="1:13" ht="15.75" thickBot="1" x14ac:dyDescent="0.3">
      <c r="A28" s="22" t="str">
        <f t="shared" si="0"/>
        <v>UnknownHighNo Action</v>
      </c>
      <c r="B28" s="50" t="s">
        <v>221</v>
      </c>
      <c r="C28" s="51" t="s">
        <v>223</v>
      </c>
      <c r="D28" s="52" t="s">
        <v>236</v>
      </c>
      <c r="E28" s="50">
        <v>0</v>
      </c>
      <c r="F28" s="51">
        <v>0</v>
      </c>
      <c r="G28" s="51">
        <v>5</v>
      </c>
      <c r="H28" s="51">
        <v>5</v>
      </c>
      <c r="I28" s="52">
        <v>90</v>
      </c>
      <c r="J28" s="64" t="str">
        <f>HLOOKUP(MAX(E28:I28),$E$28:$I$29,2,FALSE)</f>
        <v>High</v>
      </c>
      <c r="K28" s="64" t="s">
        <v>218</v>
      </c>
      <c r="L28" s="64" t="s">
        <v>223</v>
      </c>
      <c r="M28" s="66">
        <v>0.97516259999999999</v>
      </c>
    </row>
    <row r="29" spans="1:13" ht="15.75" thickBot="1" x14ac:dyDescent="0.3">
      <c r="E29" s="50">
        <v>0</v>
      </c>
      <c r="F29" s="51" t="s">
        <v>219</v>
      </c>
      <c r="G29" s="51" t="s">
        <v>218</v>
      </c>
      <c r="H29" s="51" t="s">
        <v>232</v>
      </c>
      <c r="I29" s="52" t="s">
        <v>223</v>
      </c>
    </row>
  </sheetData>
  <mergeCells count="1">
    <mergeCell ref="E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F79B6F18BB9C4DB9DBF7E62F2E7B94" ma:contentTypeVersion="12" ma:contentTypeDescription="Create a new document." ma:contentTypeScope="" ma:versionID="1c099b88d047db04481089dbba7d2709">
  <xsd:schema xmlns:xsd="http://www.w3.org/2001/XMLSchema" xmlns:xs="http://www.w3.org/2001/XMLSchema" xmlns:p="http://schemas.microsoft.com/office/2006/metadata/properties" xmlns:ns3="a8df9be0-fabc-4cd2-83a0-5d14ea6e1e1c" xmlns:ns4="7d156368-5c4c-45de-9137-dd8ee7d8ab11" targetNamespace="http://schemas.microsoft.com/office/2006/metadata/properties" ma:root="true" ma:fieldsID="eafa8dcaf306508adc6a6514c4e81d2c" ns3:_="" ns4:_="">
    <xsd:import namespace="a8df9be0-fabc-4cd2-83a0-5d14ea6e1e1c"/>
    <xsd:import namespace="7d156368-5c4c-45de-9137-dd8ee7d8ab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f9be0-fabc-4cd2-83a0-5d14ea6e1e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56368-5c4c-45de-9137-dd8ee7d8ab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DF11EC-F50A-41D9-915D-BBED1B7162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72887-C5F2-41D1-BE98-5B48EA247D6C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8df9be0-fabc-4cd2-83a0-5d14ea6e1e1c"/>
    <ds:schemaRef ds:uri="7d156368-5c4c-45de-9137-dd8ee7d8ab11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B77094-9F2A-44C8-8573-7D90DEF943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f9be0-fabc-4cd2-83a0-5d14ea6e1e1c"/>
    <ds:schemaRef ds:uri="7d156368-5c4c-45de-9137-dd8ee7d8a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Proto1_v2</vt:lpstr>
      <vt:lpstr>Proto1-v3Reduced</vt:lpstr>
      <vt:lpstr>Huc_Sort</vt:lpstr>
      <vt:lpstr>Scenarios</vt:lpstr>
      <vt:lpstr>Huc-12 Selection Results</vt:lpstr>
      <vt:lpstr>Optimization &amp; HucToHuc_Lookup</vt:lpstr>
      <vt:lpstr>Objective Weights</vt:lpstr>
      <vt:lpstr>StateTransitionProbabilty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Cummings</dc:creator>
  <cp:lastModifiedBy>Jonathan Cummings</cp:lastModifiedBy>
  <dcterms:created xsi:type="dcterms:W3CDTF">2020-02-04T20:26:04Z</dcterms:created>
  <dcterms:modified xsi:type="dcterms:W3CDTF">2020-02-16T16:54:27Z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0x01010051F79B6F18BB9C4DB9DBF7E62F2E7B94</vt:lpwstr>
  </property>
</Properties>
</file>